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bookViews>
    <workbookView xWindow="240" yWindow="225" windowWidth="14805" windowHeight="7890" tabRatio="932"/>
  </bookViews>
  <sheets>
    <sheet name="Appendix Q TERM" sheetId="34" r:id="rId1"/>
    <sheet name="Appendix R TERM" sheetId="33" r:id="rId2"/>
    <sheet name="Appendix S TERM" sheetId="31" r:id="rId3"/>
    <sheet name="Appendix T TERM" sheetId="30" r:id="rId4"/>
    <sheet name="Appendix U TERM" sheetId="29" r:id="rId5"/>
    <sheet name="Deps Performed YE3Q2016" sheetId="28" r:id="rId6"/>
    <sheet name="Directs YE3Q2016" sheetId="37" r:id="rId7"/>
    <sheet name="Indirects YE3Q2016" sheetId="38" r:id="rId8"/>
  </sheets>
  <definedNames>
    <definedName name="_xlnm.Print_Area" localSheetId="1">'Appendix R TERM'!$A$2:$M$29</definedName>
    <definedName name="_xlnm.Print_Area" localSheetId="4">'Appendix U TERM'!$A$1:$N$71</definedName>
    <definedName name="_xlnm.Print_Area" localSheetId="5">'Deps Performed YE3Q2016'!#REF!</definedName>
    <definedName name="_xlnm.Print_Titles" localSheetId="4">'Appendix U TERM'!$1:$4</definedName>
  </definedNames>
  <calcPr calcId="171027" fullPrecision="0"/>
</workbook>
</file>

<file path=xl/calcChain.xml><?xml version="1.0" encoding="utf-8"?>
<calcChain xmlns="http://schemas.openxmlformats.org/spreadsheetml/2006/main">
  <c r="E14" i="30" l="1"/>
  <c r="G14" i="30" s="1"/>
  <c r="J14" i="30" s="1"/>
  <c r="K14" i="30" s="1"/>
  <c r="L14" i="30" s="1"/>
  <c r="N14" i="30" s="1"/>
  <c r="F19" i="31" l="1"/>
  <c r="C19" i="31"/>
  <c r="C17" i="31"/>
  <c r="C16" i="31"/>
  <c r="C15" i="31"/>
  <c r="C14" i="31"/>
  <c r="C13" i="31"/>
  <c r="C12" i="31"/>
  <c r="C11" i="31"/>
  <c r="C10" i="31"/>
  <c r="E34" i="30" l="1"/>
  <c r="E33" i="30"/>
  <c r="E32" i="30"/>
  <c r="E31" i="30"/>
  <c r="E30" i="30"/>
  <c r="E29" i="30"/>
  <c r="E28" i="30"/>
  <c r="E27" i="30"/>
  <c r="E26" i="30"/>
  <c r="E24" i="30"/>
  <c r="E23" i="30"/>
  <c r="E22" i="30"/>
  <c r="E21" i="30"/>
  <c r="E20" i="30"/>
  <c r="E19" i="30"/>
  <c r="E17" i="30"/>
  <c r="E16" i="30"/>
  <c r="E15" i="30"/>
  <c r="L60" i="29"/>
  <c r="N59" i="29"/>
  <c r="M35" i="30"/>
  <c r="C18" i="31" l="1"/>
  <c r="N26" i="29" l="1"/>
  <c r="N25" i="29"/>
  <c r="N27" i="29" l="1"/>
  <c r="G27" i="30"/>
  <c r="J27" i="30" s="1"/>
  <c r="K27" i="30" s="1"/>
  <c r="L27" i="30" s="1"/>
  <c r="N27" i="30" s="1"/>
  <c r="A29" i="30"/>
  <c r="A30" i="30" s="1"/>
  <c r="A31" i="30" s="1"/>
  <c r="A32" i="30" s="1"/>
  <c r="A33" i="30" s="1"/>
  <c r="A34" i="30" s="1"/>
  <c r="F18" i="31" l="1"/>
  <c r="F17" i="31"/>
  <c r="F16" i="31"/>
  <c r="F15" i="31"/>
  <c r="F14" i="31"/>
  <c r="F13" i="31"/>
  <c r="F12" i="31"/>
  <c r="F11" i="31"/>
  <c r="F10" i="31"/>
  <c r="G34" i="30"/>
  <c r="J34" i="30" s="1"/>
  <c r="K34" i="30" s="1"/>
  <c r="L34" i="30" s="1"/>
  <c r="G33" i="30"/>
  <c r="J33" i="30" s="1"/>
  <c r="K33" i="30" s="1"/>
  <c r="L33" i="30" s="1"/>
  <c r="G32" i="30"/>
  <c r="J32" i="30" s="1"/>
  <c r="K32" i="30" s="1"/>
  <c r="L32" i="30" s="1"/>
  <c r="G31" i="30"/>
  <c r="J31" i="30" s="1"/>
  <c r="K31" i="30" s="1"/>
  <c r="L31" i="30" s="1"/>
  <c r="G30" i="30"/>
  <c r="J30" i="30" s="1"/>
  <c r="K30" i="30" s="1"/>
  <c r="L30" i="30" s="1"/>
  <c r="G29" i="30"/>
  <c r="J29" i="30" s="1"/>
  <c r="K29" i="30" s="1"/>
  <c r="L29" i="30" s="1"/>
  <c r="G28" i="30"/>
  <c r="J28" i="30" s="1"/>
  <c r="K28" i="30" s="1"/>
  <c r="L28" i="30" s="1"/>
  <c r="G26" i="30"/>
  <c r="J26" i="30" s="1"/>
  <c r="K26" i="30" s="1"/>
  <c r="L26" i="30" s="1"/>
  <c r="A22" i="30"/>
  <c r="A23" i="30" s="1"/>
  <c r="A19" i="30"/>
  <c r="A20" i="30" s="1"/>
  <c r="A15" i="30"/>
  <c r="E49" i="29"/>
  <c r="G44" i="29"/>
  <c r="G15" i="30" l="1"/>
  <c r="J15" i="30" s="1"/>
  <c r="G23" i="30"/>
  <c r="J23" i="30" s="1"/>
  <c r="G17" i="30"/>
  <c r="G13" i="30"/>
  <c r="G24" i="30"/>
  <c r="G21" i="30"/>
  <c r="G22" i="30"/>
  <c r="G16" i="30"/>
  <c r="G19" i="30"/>
  <c r="G20" i="30"/>
  <c r="G10" i="31"/>
  <c r="F16" i="33" s="1"/>
  <c r="N26" i="30"/>
  <c r="N28" i="30"/>
  <c r="N32" i="30"/>
  <c r="N29" i="30"/>
  <c r="N33" i="30"/>
  <c r="N30" i="30"/>
  <c r="N34" i="30"/>
  <c r="N31" i="30"/>
  <c r="H16" i="33" l="1"/>
  <c r="J16" i="33" s="1"/>
  <c r="L16" i="33" s="1"/>
  <c r="D13" i="34" s="1"/>
  <c r="F13" i="34" s="1"/>
  <c r="J13" i="34" s="1"/>
  <c r="J19" i="30"/>
  <c r="J21" i="30"/>
  <c r="J16" i="30"/>
  <c r="J24" i="30"/>
  <c r="J22" i="30"/>
  <c r="J13" i="30"/>
  <c r="K23" i="30"/>
  <c r="L23" i="30" s="1"/>
  <c r="J20" i="30"/>
  <c r="K15" i="30"/>
  <c r="L15" i="30" s="1"/>
  <c r="J17" i="30"/>
  <c r="N15" i="30" l="1"/>
  <c r="K13" i="30"/>
  <c r="L13" i="30" s="1"/>
  <c r="K24" i="30"/>
  <c r="L24" i="30" s="1"/>
  <c r="K21" i="30"/>
  <c r="L21" i="30" s="1"/>
  <c r="K20" i="30"/>
  <c r="L20" i="30" s="1"/>
  <c r="K22" i="30"/>
  <c r="L22" i="30" s="1"/>
  <c r="K16" i="30"/>
  <c r="L16" i="30" s="1"/>
  <c r="K19" i="30"/>
  <c r="L19" i="30" s="1"/>
  <c r="N23" i="30"/>
  <c r="K17" i="30"/>
  <c r="L17" i="30" s="1"/>
  <c r="N58" i="29"/>
  <c r="N60" i="29" s="1"/>
  <c r="L56" i="29"/>
  <c r="N55" i="29"/>
  <c r="N54" i="29"/>
  <c r="N53" i="29"/>
  <c r="N52" i="29"/>
  <c r="N51" i="29"/>
  <c r="L49" i="29"/>
  <c r="N48" i="29"/>
  <c r="L45" i="29"/>
  <c r="N44" i="29"/>
  <c r="N43" i="29"/>
  <c r="L41" i="29"/>
  <c r="N40" i="29"/>
  <c r="N39" i="29"/>
  <c r="N38" i="29"/>
  <c r="N37" i="29"/>
  <c r="N36" i="29"/>
  <c r="L34" i="29"/>
  <c r="N33" i="29"/>
  <c r="N32" i="29"/>
  <c r="N30" i="29"/>
  <c r="L22" i="29"/>
  <c r="N21" i="29"/>
  <c r="N20" i="29"/>
  <c r="N19" i="29"/>
  <c r="N18" i="29"/>
  <c r="N14" i="29"/>
  <c r="N12" i="29"/>
  <c r="N11" i="29"/>
  <c r="L9" i="29"/>
  <c r="N8" i="29"/>
  <c r="N7" i="29"/>
  <c r="E69" i="29"/>
  <c r="G68" i="29"/>
  <c r="G67" i="29"/>
  <c r="G66" i="29"/>
  <c r="E64" i="29"/>
  <c r="G63" i="29"/>
  <c r="G62" i="29"/>
  <c r="G61" i="29"/>
  <c r="G60" i="29"/>
  <c r="G59" i="29"/>
  <c r="E57" i="29"/>
  <c r="G56" i="29"/>
  <c r="G55" i="29"/>
  <c r="G54" i="29"/>
  <c r="G53" i="29"/>
  <c r="G52" i="29"/>
  <c r="G51" i="29"/>
  <c r="G48" i="29"/>
  <c r="G47" i="29"/>
  <c r="G46" i="29"/>
  <c r="G45" i="29"/>
  <c r="E42" i="29"/>
  <c r="G41" i="29"/>
  <c r="G40" i="29"/>
  <c r="E37" i="29"/>
  <c r="G36" i="29"/>
  <c r="G35" i="29"/>
  <c r="G34" i="29"/>
  <c r="G33" i="29"/>
  <c r="G32" i="29"/>
  <c r="G31" i="29"/>
  <c r="G30" i="29"/>
  <c r="G29" i="29"/>
  <c r="E27" i="29"/>
  <c r="G26" i="29"/>
  <c r="G25" i="29"/>
  <c r="G24" i="29"/>
  <c r="G23" i="29"/>
  <c r="G22" i="29"/>
  <c r="G21" i="29"/>
  <c r="E19" i="29"/>
  <c r="G18" i="29"/>
  <c r="G17" i="29"/>
  <c r="G16" i="29"/>
  <c r="G15" i="29"/>
  <c r="G14" i="29"/>
  <c r="G13" i="29"/>
  <c r="E11" i="29"/>
  <c r="G10" i="29"/>
  <c r="G9" i="29"/>
  <c r="G8" i="29"/>
  <c r="G7" i="29"/>
  <c r="N16" i="30" l="1"/>
  <c r="N22" i="30"/>
  <c r="L25" i="30"/>
  <c r="N24" i="30"/>
  <c r="N21" i="30"/>
  <c r="N20" i="30"/>
  <c r="N13" i="30"/>
  <c r="L18" i="30"/>
  <c r="N17" i="30"/>
  <c r="N19" i="30"/>
  <c r="N9" i="29"/>
  <c r="N56" i="29"/>
  <c r="N45" i="29"/>
  <c r="G11" i="29"/>
  <c r="G42" i="29"/>
  <c r="G49" i="29"/>
  <c r="G64" i="29"/>
  <c r="L13" i="29"/>
  <c r="L15" i="29" s="1"/>
  <c r="G19" i="29"/>
  <c r="N34" i="29"/>
  <c r="G69" i="29"/>
  <c r="N41" i="29"/>
  <c r="G57" i="29"/>
  <c r="N22" i="29"/>
  <c r="N49" i="29"/>
  <c r="G37" i="29"/>
  <c r="G27" i="29"/>
  <c r="N13" i="29"/>
  <c r="N15" i="29" s="1"/>
  <c r="L35" i="30" l="1"/>
  <c r="N35" i="30" s="1"/>
  <c r="N18" i="30"/>
  <c r="N25" i="30"/>
</calcChain>
</file>

<file path=xl/sharedStrings.xml><?xml version="1.0" encoding="utf-8"?>
<sst xmlns="http://schemas.openxmlformats.org/spreadsheetml/2006/main" count="564" uniqueCount="244">
  <si>
    <t>Bering</t>
  </si>
  <si>
    <t>Hageland</t>
  </si>
  <si>
    <t>Iliamna</t>
  </si>
  <si>
    <t>Pacific</t>
  </si>
  <si>
    <t>Smokey</t>
  </si>
  <si>
    <t>Spernak</t>
  </si>
  <si>
    <t>Tanana</t>
  </si>
  <si>
    <t>Venture</t>
  </si>
  <si>
    <t>Wright</t>
  </si>
  <si>
    <t>Yute</t>
  </si>
  <si>
    <t>Directs</t>
  </si>
  <si>
    <t>Indirects</t>
  </si>
  <si>
    <t>Operating</t>
  </si>
  <si>
    <t>Departure</t>
  </si>
  <si>
    <t>Capacity</t>
  </si>
  <si>
    <t>Oper. Less</t>
  </si>
  <si>
    <t>Carrier</t>
  </si>
  <si>
    <t>-1-</t>
  </si>
  <si>
    <t>-2-</t>
  </si>
  <si>
    <t>-3-</t>
  </si>
  <si>
    <t>-4-</t>
  </si>
  <si>
    <t>-5-</t>
  </si>
  <si>
    <t>-6-</t>
  </si>
  <si>
    <t>-7-</t>
  </si>
  <si>
    <t>#3 less #4</t>
  </si>
  <si>
    <t>#1 plus #2</t>
  </si>
  <si>
    <t>Markup</t>
  </si>
  <si>
    <t>-8-</t>
  </si>
  <si>
    <t>Adjusted</t>
  </si>
  <si>
    <t>#5 x #7</t>
  </si>
  <si>
    <t>Total</t>
  </si>
  <si>
    <t>.</t>
  </si>
  <si>
    <t>Wtd. Deps.</t>
  </si>
  <si>
    <t>$/Dep.</t>
  </si>
  <si>
    <t>Wtd.</t>
  </si>
  <si>
    <t>-9-</t>
  </si>
  <si>
    <t>-10-</t>
  </si>
  <si>
    <t>#4 ÷ #6</t>
  </si>
  <si>
    <t>Terminal</t>
  </si>
  <si>
    <t>2-Ltr.</t>
  </si>
  <si>
    <t>A/C</t>
  </si>
  <si>
    <t>Deps.</t>
  </si>
  <si>
    <t>GTOW</t>
  </si>
  <si>
    <t>Wtd. Deps</t>
  </si>
  <si>
    <t>40-Mile Air</t>
  </si>
  <si>
    <t>Q5</t>
  </si>
  <si>
    <t>X4</t>
  </si>
  <si>
    <t>J5</t>
  </si>
  <si>
    <t>7S</t>
  </si>
  <si>
    <t>Bering Air Inc.</t>
  </si>
  <si>
    <t>8E</t>
  </si>
  <si>
    <t>7H</t>
  </si>
  <si>
    <t>Grant Aviation</t>
  </si>
  <si>
    <t>GV</t>
  </si>
  <si>
    <t>H6</t>
  </si>
  <si>
    <t>Iliamna Air Taxi</t>
  </si>
  <si>
    <t>V8</t>
  </si>
  <si>
    <t>Island Air Service</t>
  </si>
  <si>
    <t>2O</t>
  </si>
  <si>
    <t>Pacific Airways, Inc.</t>
  </si>
  <si>
    <t>3F</t>
  </si>
  <si>
    <t>KS</t>
  </si>
  <si>
    <t>PM Air, LLC</t>
  </si>
  <si>
    <t>Z3</t>
  </si>
  <si>
    <t>K5</t>
  </si>
  <si>
    <t>8D</t>
  </si>
  <si>
    <t>2E</t>
  </si>
  <si>
    <t>Spernak Airways Inc.</t>
  </si>
  <si>
    <t>SNK</t>
  </si>
  <si>
    <t>Tanana Air Service</t>
  </si>
  <si>
    <t>4E</t>
  </si>
  <si>
    <t>K3</t>
  </si>
  <si>
    <t>4W</t>
  </si>
  <si>
    <t>8V</t>
  </si>
  <si>
    <t>4Y</t>
  </si>
  <si>
    <t xml:space="preserve">Air Excursion </t>
  </si>
  <si>
    <t xml:space="preserve">PenAir </t>
  </si>
  <si>
    <t>$/Wtd. Dep.</t>
  </si>
  <si>
    <t>Actual Y</t>
  </si>
  <si>
    <t>Natural Log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</si>
  <si>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</si>
  <si>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</si>
  <si>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</si>
  <si>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</si>
  <si>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</si>
  <si>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</si>
  <si>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</si>
  <si>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</si>
  <si>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</si>
  <si>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</si>
  <si>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</si>
  <si>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</si>
  <si>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</si>
  <si>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</si>
  <si>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</si>
  <si>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</si>
  <si>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</si>
  <si>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</si>
  <si>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</si>
  <si>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</si>
  <si>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EXP (Y)</t>
  </si>
  <si>
    <t>Predicted</t>
  </si>
  <si>
    <t xml:space="preserve">Annual </t>
  </si>
  <si>
    <t>Increase</t>
  </si>
  <si>
    <t>Page 1 of 2</t>
  </si>
  <si>
    <t>Annual Period</t>
  </si>
  <si>
    <t>Page 2 of 2</t>
  </si>
  <si>
    <t>INTRA-ALASKA MAIL CLASS RATES COST ADJUSTMENT FACTORS</t>
  </si>
  <si>
    <t>Unit Cost</t>
  </si>
  <si>
    <t>Per Wtd. Dep.</t>
  </si>
  <si>
    <t>Base Year</t>
  </si>
  <si>
    <t xml:space="preserve">Ended </t>
  </si>
  <si>
    <t xml:space="preserve">YE </t>
  </si>
  <si>
    <t xml:space="preserve">Average Annual </t>
  </si>
  <si>
    <t xml:space="preserve">Change </t>
  </si>
  <si>
    <t>Midpoint to</t>
  </si>
  <si>
    <t>Midpoint</t>
  </si>
  <si>
    <t>Change</t>
  </si>
  <si>
    <t>Estimated</t>
  </si>
  <si>
    <t>Unit Cost at</t>
  </si>
  <si>
    <t xml:space="preserve">Percent </t>
  </si>
  <si>
    <t>Base Year to</t>
  </si>
  <si>
    <t>1/</t>
  </si>
  <si>
    <t>2/</t>
  </si>
  <si>
    <t>3/</t>
  </si>
  <si>
    <t>4/</t>
  </si>
  <si>
    <t>5/</t>
  </si>
  <si>
    <t>6/</t>
  </si>
  <si>
    <t>1/ Attachment D, Appendix D, Order 2007-12-19.</t>
  </si>
  <si>
    <t>Rates</t>
  </si>
  <si>
    <t>Adjustment</t>
  </si>
  <si>
    <t>Factors</t>
  </si>
  <si>
    <t>Proposed</t>
  </si>
  <si>
    <t>Final Rates</t>
  </si>
  <si>
    <t>Current Rate,</t>
  </si>
  <si>
    <t xml:space="preserve">Change from </t>
  </si>
  <si>
    <t>Prior Rate</t>
  </si>
  <si>
    <t>1/ Per Order 2005-1-18</t>
  </si>
  <si>
    <t>3/ Column (1) increased by Column (2).</t>
  </si>
  <si>
    <t xml:space="preserve">4/ Reflects the fact that from the mid-point of the reporting period to the mid-point of the prospective rate is </t>
  </si>
  <si>
    <t>Al. Seaplane</t>
  </si>
  <si>
    <t xml:space="preserve">Grant </t>
  </si>
  <si>
    <t>t Stat</t>
  </si>
  <si>
    <t>PenAir Adj. 1/</t>
  </si>
  <si>
    <t>PenAir, Bush</t>
  </si>
  <si>
    <t>PenAir, Total</t>
  </si>
  <si>
    <t>PenAir, Bush, Subtotal</t>
  </si>
  <si>
    <t>PenAir, Mainline, Outside AK</t>
  </si>
  <si>
    <t>40-Mile Air, Total</t>
  </si>
  <si>
    <t>Air Excursion</t>
  </si>
  <si>
    <t>Air Excursion, Total</t>
  </si>
  <si>
    <t xml:space="preserve">Alaska Seaplane </t>
  </si>
  <si>
    <t>Alaska Seaplane, Total</t>
  </si>
  <si>
    <t>Bering, Total</t>
  </si>
  <si>
    <t>Grant, Total</t>
  </si>
  <si>
    <t>Hageland, Total</t>
  </si>
  <si>
    <t>Iliamna, Total</t>
  </si>
  <si>
    <t>Island Air, Total</t>
  </si>
  <si>
    <t>Pacific, Total</t>
  </si>
  <si>
    <t>Wright, Total</t>
  </si>
  <si>
    <t>Hageland Aviation</t>
  </si>
  <si>
    <t>Warbelow, Total</t>
  </si>
  <si>
    <t>Yute, Total</t>
  </si>
  <si>
    <t>Smokey Bay, Total</t>
  </si>
  <si>
    <t>Spernak, Total</t>
  </si>
  <si>
    <t>Tanana, Total</t>
  </si>
  <si>
    <t>Venture, Total</t>
  </si>
  <si>
    <t xml:space="preserve">Wright Air </t>
  </si>
  <si>
    <t>Total -- Reflects only the adjusted amount.</t>
  </si>
  <si>
    <t>Standard Error</t>
  </si>
  <si>
    <t>Change 2004</t>
  </si>
  <si>
    <t>Arctic Transportation</t>
  </si>
  <si>
    <t>Arctic Transportation, Total</t>
  </si>
  <si>
    <t>Warbelow</t>
  </si>
  <si>
    <t>Arctic Trans.</t>
  </si>
  <si>
    <t>Adjusted R Square</t>
  </si>
  <si>
    <t>Exp Flight Attendants</t>
  </si>
  <si>
    <t>Exp Traffic</t>
  </si>
  <si>
    <t>Exp Departure Station</t>
  </si>
  <si>
    <t>Exp Capacity Admin</t>
  </si>
  <si>
    <t>Exp Transport</t>
  </si>
  <si>
    <t>Computed</t>
  </si>
  <si>
    <t>Air Excursions LLC</t>
  </si>
  <si>
    <t>Alaska Central Express</t>
  </si>
  <si>
    <t>KO</t>
  </si>
  <si>
    <t>Era Aviation</t>
  </si>
  <si>
    <t>Frontier Flying Service</t>
  </si>
  <si>
    <t>2F</t>
  </si>
  <si>
    <t>Hageland Aviation Service</t>
  </si>
  <si>
    <t>Homer Air</t>
  </si>
  <si>
    <t>HB</t>
  </si>
  <si>
    <t>Kalinin Aviation LLC d/b/a Alaska Seaplanes</t>
  </si>
  <si>
    <t>Katmai Air</t>
  </si>
  <si>
    <t>KAT</t>
  </si>
  <si>
    <t>Peninsula Airways Inc.</t>
  </si>
  <si>
    <t>Scott Air LLC dba Island Air Express</t>
  </si>
  <si>
    <t>Smokey Bay Air Inc.</t>
  </si>
  <si>
    <t>Venture Travel LLC d/b/a Taquan Air Service</t>
  </si>
  <si>
    <t>Wright Air Service</t>
  </si>
  <si>
    <t>Yute Air Aka Flight Alaska</t>
  </si>
  <si>
    <t>Exp Pilot Copilot</t>
  </si>
  <si>
    <t>Exp Fuel Oil</t>
  </si>
  <si>
    <t>Exp Hull Ins</t>
  </si>
  <si>
    <t>Exp Third Party Liab Ins</t>
  </si>
  <si>
    <t>Exp Pax Liab Ins</t>
  </si>
  <si>
    <t>Exp Maintenance</t>
  </si>
  <si>
    <t>Exp Depreciation</t>
  </si>
  <si>
    <t>Fuel Issued</t>
  </si>
  <si>
    <t>Blk Hours</t>
  </si>
  <si>
    <t>T510 Rdperformed</t>
  </si>
  <si>
    <t>4EQ</t>
  </si>
  <si>
    <t>Island Air Svc.</t>
  </si>
  <si>
    <t>Scott Air d/b/a Island Air Expr.</t>
  </si>
  <si>
    <r>
      <t xml:space="preserve">Year Ended September 30, </t>
    </r>
    <r>
      <rPr>
        <u/>
        <sz val="11"/>
        <color rgb="FFFF0000"/>
        <rFont val="Times New Roman"/>
        <family val="1"/>
      </rPr>
      <t>2016</t>
    </r>
  </si>
  <si>
    <t>I4</t>
  </si>
  <si>
    <t>Sum Direct Costs</t>
  </si>
  <si>
    <t>Dynamic Aviation, Inc. d/b/a Beacon</t>
  </si>
  <si>
    <t>Seaport Airlines, Inc.</t>
  </si>
  <si>
    <t>Direct expense excludes passenger liability insurance.</t>
  </si>
  <si>
    <t>Island Air Exp.</t>
  </si>
  <si>
    <r>
      <t xml:space="preserve">Schedule F-2 Expenses, Year Ended September 30, </t>
    </r>
    <r>
      <rPr>
        <sz val="11"/>
        <color rgb="FFFF0000"/>
        <rFont val="Times New Roman"/>
        <family val="1"/>
      </rPr>
      <t>2016</t>
    </r>
  </si>
  <si>
    <t>YE 6/30/06</t>
  </si>
  <si>
    <t>to YE 9/30/16</t>
  </si>
  <si>
    <r>
      <t xml:space="preserve">Order </t>
    </r>
    <r>
      <rPr>
        <u/>
        <sz val="11"/>
        <color rgb="FFFF0000"/>
        <rFont val="Times New Roman"/>
        <family val="1"/>
      </rPr>
      <t>2016-12-20</t>
    </r>
  </si>
  <si>
    <r>
      <t xml:space="preserve">Determination of Terminal Rate, Rate per Revenue Ton Enplaned, YE </t>
    </r>
    <r>
      <rPr>
        <sz val="11"/>
        <color rgb="FFFF0000"/>
        <rFont val="Times New Roman"/>
        <family val="1"/>
      </rPr>
      <t>9-30-16</t>
    </r>
  </si>
  <si>
    <t>Appendix Q</t>
  </si>
  <si>
    <t>Appendix R</t>
  </si>
  <si>
    <t>Appendix S</t>
  </si>
  <si>
    <t>Appendix T</t>
  </si>
  <si>
    <t>for a 9-month period.</t>
  </si>
  <si>
    <t>1/ Reflects a pro rata portion of intra-Alaska bush weighted departures from Appendix T.</t>
  </si>
  <si>
    <t>2/ See Appendix R, Column 6</t>
  </si>
  <si>
    <t>Appendix U</t>
  </si>
  <si>
    <t xml:space="preserve">3/ See "predicted annual increase" in Appendix S, Page 1 of 2. </t>
  </si>
  <si>
    <t>2/ Appendix T to this Order, Column 10.</t>
  </si>
  <si>
    <t>Corvus, Bush</t>
  </si>
  <si>
    <t>Corvus, Mainline</t>
  </si>
  <si>
    <t>Corvus, Total</t>
  </si>
  <si>
    <r>
      <t xml:space="preserve">1.75 years.  </t>
    </r>
    <r>
      <rPr>
        <sz val="11"/>
        <color rgb="FFFF0000"/>
        <rFont val="Times New Roman"/>
        <family val="1"/>
      </rPr>
      <t>1.0553 x 1.041475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>0.041475</t>
    </r>
    <r>
      <rPr>
        <sz val="11"/>
        <color theme="1"/>
        <rFont val="Times New Roman"/>
        <family val="1"/>
      </rPr>
      <t xml:space="preserve"> is the average annual unit cost increase projected </t>
    </r>
  </si>
  <si>
    <r>
      <t xml:space="preserve">5/ </t>
    </r>
    <r>
      <rPr>
        <sz val="11"/>
        <color rgb="FFFF0000"/>
        <rFont val="Times New Roman"/>
        <family val="1"/>
      </rPr>
      <t>$17.53</t>
    </r>
    <r>
      <rPr>
        <sz val="11"/>
        <color theme="1"/>
        <rFont val="Times New Roman"/>
        <family val="1"/>
      </rPr>
      <t xml:space="preserve"> in Column 2 increased by 11.05 percent in Column 4.</t>
    </r>
  </si>
  <si>
    <r>
      <t xml:space="preserve">6/ </t>
    </r>
    <r>
      <rPr>
        <sz val="11"/>
        <color rgb="FFFF0000"/>
        <rFont val="Times New Roman"/>
        <family val="1"/>
      </rPr>
      <t>$19.27</t>
    </r>
    <r>
      <rPr>
        <sz val="11"/>
        <color theme="1"/>
        <rFont val="Times New Roman"/>
        <family val="1"/>
      </rPr>
      <t xml:space="preserve"> in Column 5 ÷ $9.77 in Column 1, the base period.</t>
    </r>
  </si>
  <si>
    <r>
      <t xml:space="preserve">4/ </t>
    </r>
    <r>
      <rPr>
        <sz val="11"/>
        <color rgb="FFFF0000"/>
        <rFont val="Times New Roman"/>
        <family val="1"/>
      </rPr>
      <t>$1,234.43 ÷ $1,024.95.</t>
    </r>
    <r>
      <rPr>
        <sz val="11"/>
        <color theme="1"/>
        <rFont val="Times New Roman"/>
        <family val="1"/>
      </rPr>
      <t xml:space="preserve">  </t>
    </r>
  </si>
  <si>
    <t>Corvus</t>
  </si>
  <si>
    <t>Corvus Adj.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</si>
</sst>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/>
    <xf numFmtId="166" fontId="5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/>
    <xf numFmtId="0" fontId="5" fillId="0" borderId="1" xfId="0" applyFont="1" applyBorder="1"/>
    <xf numFmtId="16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0" xfId="0" applyNumberFormat="1" applyFont="1"/>
    <xf numFmtId="14" fontId="4" fillId="0" borderId="0" xfId="0" quotePrefix="1" applyNumberFormat="1" applyFont="1"/>
    <xf numFmtId="3" fontId="5" fillId="0" borderId="0" xfId="0" applyNumberFormat="1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 applyBorder="1"/>
    <xf numFmtId="164" fontId="5" fillId="0" borderId="0" xfId="0" applyNumberFormat="1" applyFont="1" applyBorder="1"/>
    <xf numFmtId="164" fontId="5" fillId="0" borderId="2" xfId="0" applyNumberFormat="1" applyFont="1" applyBorder="1" applyAlignment="1">
      <alignment horizontal="centerContinuous"/>
    </xf>
    <xf numFmtId="164" fontId="5" fillId="0" borderId="0" xfId="0" quotePrefix="1" applyNumberFormat="1" applyFont="1" applyAlignment="1">
      <alignment horizontal="center"/>
    </xf>
    <xf numFmtId="164" fontId="5" fillId="0" borderId="0" xfId="0" quotePrefix="1" applyNumberFormat="1" applyFont="1"/>
    <xf numFmtId="164" fontId="5" fillId="0" borderId="1" xfId="0" applyNumberFormat="1" applyFont="1" applyBorder="1"/>
    <xf numFmtId="10" fontId="5" fillId="0" borderId="0" xfId="0" applyNumberFormat="1" applyFont="1"/>
    <xf numFmtId="10" fontId="5" fillId="0" borderId="2" xfId="0" applyNumberFormat="1" applyFont="1" applyBorder="1" applyAlignment="1">
      <alignment horizontal="centerContinuous"/>
    </xf>
    <xf numFmtId="10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quotePrefix="1" applyNumberFormat="1" applyFont="1"/>
    <xf numFmtId="10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6" fillId="0" borderId="0" xfId="0" applyNumberFormat="1" applyFont="1" applyBorder="1"/>
    <xf numFmtId="165" fontId="5" fillId="0" borderId="0" xfId="0" applyNumberFormat="1" applyFont="1" applyBorder="1"/>
    <xf numFmtId="165" fontId="6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/>
    <xf numFmtId="164" fontId="6" fillId="2" borderId="0" xfId="0" applyNumberFormat="1" applyFont="1" applyFill="1"/>
    <xf numFmtId="3" fontId="6" fillId="2" borderId="0" xfId="0" applyNumberFormat="1" applyFont="1" applyFill="1"/>
    <xf numFmtId="164" fontId="6" fillId="2" borderId="0" xfId="0" applyNumberFormat="1" applyFont="1" applyFill="1" applyBorder="1"/>
    <xf numFmtId="3" fontId="6" fillId="2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4" fontId="5" fillId="0" borderId="0" xfId="0" applyNumberFormat="1" applyFont="1" applyBorder="1"/>
    <xf numFmtId="0" fontId="5" fillId="0" borderId="0" xfId="0" applyFont="1" applyFill="1" applyBorder="1" applyAlignment="1"/>
    <xf numFmtId="1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14" fontId="8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3" fillId="0" borderId="0" xfId="0" applyNumberFormat="1" applyFont="1"/>
    <xf numFmtId="14" fontId="8" fillId="0" borderId="0" xfId="0" applyNumberFormat="1" applyFont="1"/>
    <xf numFmtId="3" fontId="4" fillId="2" borderId="0" xfId="0" applyNumberFormat="1" applyFont="1" applyFill="1"/>
    <xf numFmtId="0" fontId="1" fillId="0" borderId="0" xfId="0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centerContinuous"/>
    </xf>
    <xf numFmtId="165" fontId="5" fillId="0" borderId="0" xfId="0" quotePrefix="1" applyNumberFormat="1" applyFont="1" applyBorder="1"/>
    <xf numFmtId="0" fontId="5" fillId="0" borderId="3" xfId="0" applyFont="1" applyFill="1" applyBorder="1" applyAlignment="1"/>
    <xf numFmtId="164" fontId="5" fillId="0" borderId="0" xfId="0" applyNumberFormat="1" applyFont="1" applyAlignment="1"/>
    <xf numFmtId="9" fontId="5" fillId="0" borderId="0" xfId="1" applyNumberFormat="1" applyFont="1"/>
    <xf numFmtId="0" fontId="4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 Terminal Cost per Weighted Departure, 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183748098903367E-2"/>
                  <c:y val="0.37355087370835405"/>
                </c:manualLayout>
              </c:layout>
              <c:numFmt formatCode="General" sourceLinked="0"/>
            </c:trendlineLbl>
          </c:trendline>
          <c:xVal>
            <c:numRef>
              <c:f>'Appendix S TERM'!$A$10:$A$19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S TERM'!$C$10:$C$19</c:f>
              <c:numCache>
                <c:formatCode>General</c:formatCode>
                <c:ptCount val="10"/>
                <c:pt idx="0">
                  <c:v>2.3164879981630402</c:v>
                </c:pt>
                <c:pt idx="1">
                  <c:v>2.3272777055844198</c:v>
                </c:pt>
                <c:pt idx="2">
                  <c:v>2.3617969526258902</c:v>
                </c:pt>
                <c:pt idx="3">
                  <c:v>2.3887627892351002</c:v>
                </c:pt>
                <c:pt idx="4">
                  <c:v>2.3627390158137902</c:v>
                </c:pt>
                <c:pt idx="5">
                  <c:v>2.5281257689079801</c:v>
                </c:pt>
                <c:pt idx="6">
                  <c:v>2.5595501927837701</c:v>
                </c:pt>
                <c:pt idx="7">
                  <c:v>2.6844403354630799</c:v>
                </c:pt>
                <c:pt idx="8">
                  <c:v>2.8057816895955501</c:v>
                </c:pt>
                <c:pt idx="9">
                  <c:v>2.86391369893314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7-4D51-B2BA-9F32FCAC1AE1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'Appendix S TERM'!$A$10:$A$19</c:f>
              <c:numCache>
                <c:formatCode>m/d/yyyy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S TERM'!$D$10:$D$19</c:f>
              <c:numCache>
                <c:formatCode>General</c:formatCode>
                <c:ptCount val="10"/>
                <c:pt idx="0">
                  <c:v>2.2438798910486599</c:v>
                </c:pt>
                <c:pt idx="1">
                  <c:v>2.2976840029566898</c:v>
                </c:pt>
                <c:pt idx="2">
                  <c:v>2.3516355233905002</c:v>
                </c:pt>
                <c:pt idx="3">
                  <c:v>2.4054396352985301</c:v>
                </c:pt>
                <c:pt idx="4">
                  <c:v>2.45924374720656</c:v>
                </c:pt>
                <c:pt idx="5">
                  <c:v>2.58056096391975</c:v>
                </c:pt>
                <c:pt idx="6">
                  <c:v>2.6343650758277799</c:v>
                </c:pt>
                <c:pt idx="7">
                  <c:v>2.6881691877358098</c:v>
                </c:pt>
                <c:pt idx="8">
                  <c:v>2.7419732996438402</c:v>
                </c:pt>
                <c:pt idx="9">
                  <c:v>2.7959248200776501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7-4D51-B2BA-9F32FCAC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77920"/>
        <c:axId val="39384192"/>
      </c:scatterChart>
      <c:valAx>
        <c:axId val="3937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 June 30, 2006, through September 30, 2016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crossAx val="39384192"/>
        <c:crosses val="autoZero"/>
        <c:crossBetween val="midCat"/>
      </c:valAx>
      <c:valAx>
        <c:axId val="39384192"/>
        <c:scaling>
          <c:orientation val="minMax"/>
          <c:min val="2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Wtd. Departure,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39377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22</xdr:col>
      <xdr:colOff>487680</xdr:colOff>
      <xdr:row>20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F98C2-C85D-4F59-A687-3567A1D2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6111240" cy="3512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23</xdr:col>
      <xdr:colOff>624840</xdr:colOff>
      <xdr:row>27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D4CA5-D2F7-47C7-B687-E9EB7EC8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20" y="0"/>
          <a:ext cx="7345680" cy="473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5</xdr:row>
      <xdr:rowOff>180975</xdr:rowOff>
    </xdr:from>
    <xdr:to>
      <xdr:col>17</xdr:col>
      <xdr:colOff>247649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41</xdr:row>
      <xdr:rowOff>0</xdr:rowOff>
    </xdr:from>
    <xdr:to>
      <xdr:col>7</xdr:col>
      <xdr:colOff>7620</xdr:colOff>
      <xdr:row>81</xdr:row>
      <xdr:rowOff>15240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9391C5F-F73C-49D0-914A-BC5D733E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93280"/>
          <a:ext cx="6598920" cy="70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274320</xdr:colOff>
      <xdr:row>41</xdr:row>
      <xdr:rowOff>99060</xdr:rowOff>
    </xdr:from>
    <xdr:to>
      <xdr:col>17</xdr:col>
      <xdr:colOff>128545</xdr:colOff>
      <xdr:row>69</xdr:row>
      <xdr:rowOff>47579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C05A528-02C4-4326-B686-EE98A496C371}"/>
            </a:ext>
          </a:extLst>
        </xdr:cNvPr>
        <xdr:cNvGrpSpPr/>
      </xdr:nvGrpSpPr>
      <xdr:grpSpPr>
        <a:xfrm>
          <a:off x="6865620" y="7292340"/>
          <a:ext cx="6102625" cy="4855799"/>
          <a:chOff x="6865620" y="7292340"/>
          <a:chExt cx="6102625" cy="4855799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CB9193CB-149D-42A0-B0FD-7218C9BA42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81460" y="7292340"/>
            <a:ext cx="1257300" cy="8839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2DB684E-AC69-44A1-9CE4-E900D664F1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65620" y="8282940"/>
            <a:ext cx="6102625" cy="386519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14</xdr:col>
      <xdr:colOff>7620</xdr:colOff>
      <xdr:row>77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74628C-0BD7-42A9-B43D-8B37AC396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27520"/>
          <a:ext cx="9624060" cy="648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14</xdr:col>
      <xdr:colOff>274320</xdr:colOff>
      <xdr:row>140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12B92D-C084-4803-B0AF-DB076E01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443460"/>
          <a:ext cx="10416540" cy="1210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tabSelected="1" workbookViewId="0"/>
  </sheetViews>
  <sheetFormatPr defaultColWidth="9.140625" defaultRowHeight="15" x14ac:dyDescent="0.25"/>
  <cols>
    <col min="1" max="1" width="4.42578125" style="24" customWidth="1"/>
    <col min="2" max="2" width="9.42578125" style="24" bestFit="1" customWidth="1"/>
    <col min="3" max="3" width="2.7109375" style="24" customWidth="1"/>
    <col min="4" max="4" width="11.42578125" style="24" bestFit="1" customWidth="1"/>
    <col min="5" max="5" width="2.7109375" style="24" customWidth="1"/>
    <col min="6" max="6" width="10.5703125" style="24" bestFit="1" customWidth="1"/>
    <col min="7" max="7" width="2.7109375" style="24" customWidth="1"/>
    <col min="8" max="8" width="18" style="24" bestFit="1" customWidth="1"/>
    <col min="9" max="9" width="2.7109375" style="24" customWidth="1"/>
    <col min="10" max="10" width="12.7109375" style="24" bestFit="1" customWidth="1"/>
    <col min="11" max="11" width="2.7109375" style="24" customWidth="1"/>
    <col min="12" max="16384" width="9.140625" style="24"/>
  </cols>
  <sheetData>
    <row r="1" spans="2:12" x14ac:dyDescent="0.25">
      <c r="L1" s="25"/>
    </row>
    <row r="2" spans="2:12" x14ac:dyDescent="0.25">
      <c r="L2" s="25" t="s">
        <v>38</v>
      </c>
    </row>
    <row r="3" spans="2:12" x14ac:dyDescent="0.25">
      <c r="L3" s="25" t="s">
        <v>225</v>
      </c>
    </row>
    <row r="5" spans="2:12" x14ac:dyDescent="0.25">
      <c r="B5" s="85" t="s">
        <v>224</v>
      </c>
      <c r="C5" s="85"/>
      <c r="D5" s="85"/>
      <c r="E5" s="85"/>
      <c r="F5" s="85"/>
      <c r="G5" s="85"/>
      <c r="H5" s="85"/>
      <c r="I5" s="85"/>
      <c r="J5" s="85"/>
      <c r="K5" s="85"/>
    </row>
    <row r="9" spans="2:12" x14ac:dyDescent="0.25">
      <c r="B9" s="84" t="s">
        <v>17</v>
      </c>
      <c r="C9" s="84"/>
      <c r="D9" s="84" t="s">
        <v>18</v>
      </c>
      <c r="E9" s="84"/>
      <c r="F9" s="84" t="s">
        <v>19</v>
      </c>
      <c r="G9" s="84"/>
      <c r="H9" s="84" t="s">
        <v>20</v>
      </c>
      <c r="I9" s="84"/>
      <c r="J9" s="84" t="s">
        <v>21</v>
      </c>
      <c r="K9" s="84"/>
      <c r="L9" s="84"/>
    </row>
    <row r="11" spans="2:12" s="25" customFormat="1" x14ac:dyDescent="0.25">
      <c r="B11" s="25" t="s">
        <v>110</v>
      </c>
      <c r="D11" s="25" t="s">
        <v>130</v>
      </c>
      <c r="F11" s="25" t="s">
        <v>132</v>
      </c>
      <c r="H11" s="25" t="s">
        <v>134</v>
      </c>
      <c r="J11" s="25" t="s">
        <v>135</v>
      </c>
    </row>
    <row r="12" spans="2:12" s="21" customFormat="1" x14ac:dyDescent="0.25">
      <c r="B12" s="21" t="s">
        <v>129</v>
      </c>
      <c r="C12" s="21" t="s">
        <v>122</v>
      </c>
      <c r="D12" s="21" t="s">
        <v>131</v>
      </c>
      <c r="E12" s="21" t="s">
        <v>123</v>
      </c>
      <c r="F12" s="21" t="s">
        <v>133</v>
      </c>
      <c r="G12" s="21" t="s">
        <v>124</v>
      </c>
      <c r="H12" s="21" t="s">
        <v>223</v>
      </c>
      <c r="J12" s="21" t="s">
        <v>136</v>
      </c>
      <c r="K12" s="21" t="s">
        <v>125</v>
      </c>
    </row>
    <row r="13" spans="2:12" x14ac:dyDescent="0.25">
      <c r="B13" s="59">
        <v>625.85</v>
      </c>
      <c r="D13" s="53">
        <f>'Appendix R TERM'!L16</f>
        <v>0.97240000000000004</v>
      </c>
      <c r="F13" s="59">
        <f>(1+D13)*B13</f>
        <v>1234.43</v>
      </c>
      <c r="G13" s="59"/>
      <c r="H13" s="59">
        <v>1024.95</v>
      </c>
      <c r="J13" s="53">
        <f>F13/H13-1</f>
        <v>0.2044</v>
      </c>
    </row>
    <row r="14" spans="2:12" x14ac:dyDescent="0.25">
      <c r="H14" s="59"/>
    </row>
    <row r="17" spans="2:6" x14ac:dyDescent="0.25">
      <c r="B17" s="39" t="s">
        <v>137</v>
      </c>
      <c r="C17" s="39"/>
      <c r="D17" s="39"/>
      <c r="E17" s="39"/>
      <c r="F17" s="39"/>
    </row>
    <row r="18" spans="2:6" x14ac:dyDescent="0.25">
      <c r="B18" s="24" t="s">
        <v>231</v>
      </c>
    </row>
    <row r="19" spans="2:6" x14ac:dyDescent="0.25">
      <c r="B19" s="24" t="s">
        <v>138</v>
      </c>
    </row>
    <row r="20" spans="2:6" x14ac:dyDescent="0.25">
      <c r="B20" s="24" t="s">
        <v>241</v>
      </c>
    </row>
  </sheetData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workbookViewId="0">
      <selection activeCell="O1" sqref="O1"/>
    </sheetView>
  </sheetViews>
  <sheetFormatPr defaultColWidth="10.85546875" defaultRowHeight="15" x14ac:dyDescent="0.25"/>
  <cols>
    <col min="1" max="1" width="13.5703125" style="24" customWidth="1"/>
    <col min="2" max="2" width="10.140625" style="24" bestFit="1" customWidth="1"/>
    <col min="3" max="3" width="2.28515625" style="24" bestFit="1" customWidth="1"/>
    <col min="4" max="4" width="9.140625" style="24" bestFit="1" customWidth="1"/>
    <col min="5" max="5" width="2.28515625" style="24" bestFit="1" customWidth="1"/>
    <col min="6" max="6" width="15.5703125" style="24" bestFit="1" customWidth="1"/>
    <col min="7" max="7" width="2.28515625" style="24" bestFit="1" customWidth="1"/>
    <col min="8" max="8" width="10.42578125" style="25" bestFit="1" customWidth="1"/>
    <col min="9" max="9" width="2.28515625" style="25" bestFit="1" customWidth="1"/>
    <col min="10" max="10" width="11.140625" style="24" bestFit="1" customWidth="1"/>
    <col min="11" max="11" width="2.28515625" style="24" bestFit="1" customWidth="1"/>
    <col min="12" max="12" width="12.28515625" style="25" bestFit="1" customWidth="1"/>
    <col min="13" max="13" width="13.140625" style="24" bestFit="1" customWidth="1"/>
    <col min="14" max="16384" width="10.85546875" style="24"/>
  </cols>
  <sheetData>
    <row r="1" spans="1:13" x14ac:dyDescent="0.25">
      <c r="M1" s="25"/>
    </row>
    <row r="2" spans="1:13" x14ac:dyDescent="0.25">
      <c r="M2" s="25" t="s">
        <v>38</v>
      </c>
    </row>
    <row r="3" spans="1:13" x14ac:dyDescent="0.25">
      <c r="M3" s="25" t="s">
        <v>226</v>
      </c>
    </row>
    <row r="4" spans="1:13" x14ac:dyDescent="0.25">
      <c r="M4" s="25"/>
    </row>
    <row r="6" spans="1:13" x14ac:dyDescent="0.25">
      <c r="B6" s="84" t="s">
        <v>17</v>
      </c>
      <c r="C6" s="84"/>
      <c r="D6" s="84" t="s">
        <v>18</v>
      </c>
      <c r="E6" s="84"/>
      <c r="F6" s="84" t="s">
        <v>19</v>
      </c>
      <c r="G6" s="84"/>
      <c r="H6" s="84" t="s">
        <v>20</v>
      </c>
      <c r="I6" s="84"/>
      <c r="J6" s="84" t="s">
        <v>21</v>
      </c>
      <c r="K6" s="84"/>
      <c r="L6" s="84" t="s">
        <v>22</v>
      </c>
    </row>
    <row r="7" spans="1:13" x14ac:dyDescent="0.2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9" spans="1:13" x14ac:dyDescent="0.25">
      <c r="B9" s="85" t="s">
        <v>107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25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2" spans="1:13" x14ac:dyDescent="0.25">
      <c r="D12" s="25"/>
      <c r="E12" s="25"/>
      <c r="F12" s="25" t="s">
        <v>113</v>
      </c>
      <c r="G12" s="25"/>
      <c r="L12" s="25" t="s">
        <v>120</v>
      </c>
    </row>
    <row r="13" spans="1:13" x14ac:dyDescent="0.25">
      <c r="B13" s="25" t="s">
        <v>110</v>
      </c>
      <c r="C13" s="25"/>
      <c r="D13" s="25"/>
      <c r="E13" s="25"/>
      <c r="F13" s="25" t="s">
        <v>114</v>
      </c>
      <c r="G13" s="25"/>
      <c r="H13" s="25" t="s">
        <v>115</v>
      </c>
      <c r="J13" s="25" t="s">
        <v>118</v>
      </c>
      <c r="K13" s="25"/>
      <c r="L13" s="25" t="s">
        <v>170</v>
      </c>
    </row>
    <row r="14" spans="1:13" x14ac:dyDescent="0.25">
      <c r="B14" s="25" t="s">
        <v>111</v>
      </c>
      <c r="C14" s="25"/>
      <c r="D14" s="25" t="s">
        <v>112</v>
      </c>
      <c r="E14" s="25"/>
      <c r="F14" s="25" t="s">
        <v>221</v>
      </c>
      <c r="G14" s="25"/>
      <c r="H14" s="25" t="s">
        <v>116</v>
      </c>
      <c r="J14" s="25" t="s">
        <v>119</v>
      </c>
      <c r="K14" s="25"/>
      <c r="L14" s="25" t="s">
        <v>121</v>
      </c>
    </row>
    <row r="15" spans="1:13" s="20" customFormat="1" x14ac:dyDescent="0.25">
      <c r="B15" s="86">
        <v>38168</v>
      </c>
      <c r="C15" s="87" t="s">
        <v>122</v>
      </c>
      <c r="D15" s="86">
        <v>42643</v>
      </c>
      <c r="E15" s="87" t="s">
        <v>123</v>
      </c>
      <c r="F15" s="88" t="s">
        <v>222</v>
      </c>
      <c r="G15" s="19" t="s">
        <v>124</v>
      </c>
      <c r="H15" s="21" t="s">
        <v>117</v>
      </c>
      <c r="I15" s="19" t="s">
        <v>125</v>
      </c>
      <c r="J15" s="90">
        <v>43101</v>
      </c>
      <c r="K15" s="89" t="s">
        <v>126</v>
      </c>
      <c r="L15" s="90">
        <v>43101</v>
      </c>
      <c r="M15" s="18" t="s">
        <v>127</v>
      </c>
    </row>
    <row r="16" spans="1:13" x14ac:dyDescent="0.25">
      <c r="A16" s="24" t="s">
        <v>108</v>
      </c>
      <c r="B16" s="59">
        <v>9.77</v>
      </c>
      <c r="C16" s="59"/>
      <c r="D16" s="61">
        <v>17.53</v>
      </c>
      <c r="F16" s="53">
        <f>'Appendix S TERM'!G10</f>
        <v>5.5300000000000002E-2</v>
      </c>
      <c r="G16" s="53"/>
      <c r="H16" s="53">
        <f>(1+F16)*(1+(F16*0.75))-1</f>
        <v>9.9099999999999994E-2</v>
      </c>
      <c r="J16" s="59">
        <f>D16*(1+H16)</f>
        <v>19.27</v>
      </c>
      <c r="L16" s="58">
        <f>J16/9.77-1</f>
        <v>0.97240000000000004</v>
      </c>
    </row>
    <row r="17" spans="1:12" x14ac:dyDescent="0.25">
      <c r="A17" s="24" t="s">
        <v>109</v>
      </c>
      <c r="I17" s="24"/>
      <c r="L17" s="24"/>
    </row>
    <row r="20" spans="1:12" x14ac:dyDescent="0.25">
      <c r="A20" s="39" t="s">
        <v>128</v>
      </c>
      <c r="B20" s="39"/>
      <c r="C20" s="39"/>
      <c r="D20" s="39"/>
      <c r="E20" s="39"/>
      <c r="F20" s="39"/>
      <c r="G20" s="39"/>
      <c r="H20" s="33"/>
      <c r="I20" s="24"/>
      <c r="L20" s="24"/>
    </row>
    <row r="21" spans="1:12" x14ac:dyDescent="0.25">
      <c r="A21" s="24" t="s">
        <v>234</v>
      </c>
      <c r="I21" s="24"/>
      <c r="L21" s="24"/>
    </row>
    <row r="22" spans="1:12" x14ac:dyDescent="0.25">
      <c r="A22" s="24" t="s">
        <v>233</v>
      </c>
      <c r="I22" s="24"/>
      <c r="L22" s="24"/>
    </row>
    <row r="23" spans="1:12" x14ac:dyDescent="0.25">
      <c r="A23" s="24" t="s">
        <v>139</v>
      </c>
      <c r="I23" s="24"/>
      <c r="L23" s="24"/>
    </row>
    <row r="24" spans="1:12" x14ac:dyDescent="0.25">
      <c r="A24" s="24" t="s">
        <v>238</v>
      </c>
      <c r="I24" s="24"/>
      <c r="L24" s="24"/>
    </row>
    <row r="25" spans="1:12" x14ac:dyDescent="0.25">
      <c r="A25" s="24" t="s">
        <v>229</v>
      </c>
      <c r="I25" s="24"/>
      <c r="L25" s="24"/>
    </row>
    <row r="26" spans="1:12" x14ac:dyDescent="0.25">
      <c r="A26" s="24" t="s">
        <v>239</v>
      </c>
      <c r="I26" s="24"/>
      <c r="L26" s="24"/>
    </row>
    <row r="27" spans="1:12" x14ac:dyDescent="0.25">
      <c r="A27" s="24" t="s">
        <v>240</v>
      </c>
      <c r="I27" s="24"/>
      <c r="L27" s="24"/>
    </row>
  </sheetData>
  <pageMargins left="0.7" right="0.7" top="0.75" bottom="0.75" header="0.3" footer="0.3"/>
  <pageSetup scale="84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opLeftCell="A40" workbookViewId="0">
      <selection activeCell="I51" sqref="I51"/>
    </sheetView>
  </sheetViews>
  <sheetFormatPr defaultColWidth="9.140625" defaultRowHeight="15" x14ac:dyDescent="0.25"/>
  <cols>
    <col min="1" max="1" width="14.42578125" style="24" bestFit="1" customWidth="1"/>
    <col min="2" max="2" width="12.140625" style="24" bestFit="1" customWidth="1"/>
    <col min="3" max="4" width="13.7109375" style="24" bestFit="1" customWidth="1"/>
    <col min="5" max="5" width="14.42578125" style="24" bestFit="1" customWidth="1"/>
    <col min="6" max="6" width="13.7109375" style="24" bestFit="1" customWidth="1"/>
    <col min="7" max="7" width="14.140625" style="24" bestFit="1" customWidth="1"/>
    <col min="8" max="16384" width="9.140625" style="24"/>
  </cols>
  <sheetData>
    <row r="1" spans="1:18" ht="13.9" x14ac:dyDescent="0.25">
      <c r="A1" s="47"/>
      <c r="B1" s="61"/>
      <c r="C1" s="61"/>
      <c r="D1" s="34"/>
      <c r="E1" s="47"/>
      <c r="F1" s="47"/>
      <c r="G1" s="34"/>
      <c r="R1" s="34"/>
    </row>
    <row r="2" spans="1:18" ht="13.9" x14ac:dyDescent="0.25">
      <c r="A2" s="47"/>
      <c r="B2" s="61"/>
      <c r="C2" s="61"/>
      <c r="D2" s="34"/>
      <c r="E2" s="47"/>
      <c r="F2" s="47"/>
      <c r="G2" s="34" t="s">
        <v>38</v>
      </c>
      <c r="R2" s="34" t="s">
        <v>38</v>
      </c>
    </row>
    <row r="3" spans="1:18" ht="13.9" x14ac:dyDescent="0.25">
      <c r="A3" s="47"/>
      <c r="B3" s="61"/>
      <c r="C3" s="61"/>
      <c r="D3" s="34"/>
      <c r="E3" s="47"/>
      <c r="F3" s="47"/>
      <c r="G3" s="34" t="s">
        <v>227</v>
      </c>
      <c r="R3" s="34" t="s">
        <v>227</v>
      </c>
    </row>
    <row r="4" spans="1:18" ht="13.9" x14ac:dyDescent="0.25">
      <c r="A4" s="47"/>
      <c r="B4" s="61"/>
      <c r="C4" s="61"/>
      <c r="D4" s="34"/>
      <c r="E4" s="47"/>
      <c r="F4" s="47"/>
      <c r="G4" s="72" t="s">
        <v>104</v>
      </c>
      <c r="R4" s="72" t="s">
        <v>106</v>
      </c>
    </row>
    <row r="5" spans="1:18" ht="13.9" x14ac:dyDescent="0.25">
      <c r="A5" s="47"/>
      <c r="B5" s="61"/>
      <c r="C5" s="61"/>
      <c r="D5" s="34"/>
      <c r="E5" s="47"/>
      <c r="F5" s="47"/>
      <c r="G5" s="47"/>
    </row>
    <row r="6" spans="1:18" ht="13.9" x14ac:dyDescent="0.25">
      <c r="A6" s="47"/>
      <c r="B6" s="61"/>
      <c r="C6" s="61"/>
      <c r="D6" s="34"/>
      <c r="E6" s="47"/>
      <c r="F6" s="47"/>
      <c r="G6" s="47"/>
    </row>
    <row r="7" spans="1:18" ht="13.9" x14ac:dyDescent="0.25">
      <c r="A7" s="47"/>
      <c r="B7" s="61"/>
      <c r="C7" s="34" t="s">
        <v>78</v>
      </c>
      <c r="D7" s="47"/>
      <c r="E7" s="47"/>
      <c r="F7" s="47"/>
      <c r="G7" s="34" t="s">
        <v>101</v>
      </c>
    </row>
    <row r="8" spans="1:18" ht="13.9" x14ac:dyDescent="0.25">
      <c r="A8" s="47"/>
      <c r="B8" s="61"/>
      <c r="C8" s="34" t="s">
        <v>79</v>
      </c>
      <c r="D8" s="47"/>
      <c r="E8" s="47"/>
      <c r="F8" s="47"/>
      <c r="G8" s="34" t="s">
        <v>102</v>
      </c>
    </row>
    <row r="9" spans="1:18" ht="13.9" x14ac:dyDescent="0.25">
      <c r="A9" s="73" t="s">
        <v>105</v>
      </c>
      <c r="B9" s="74" t="s">
        <v>77</v>
      </c>
      <c r="C9" s="75" t="s">
        <v>77</v>
      </c>
      <c r="D9" s="76" t="s">
        <v>80</v>
      </c>
      <c r="E9" s="76" t="s">
        <v>99</v>
      </c>
      <c r="F9" s="76" t="s">
        <v>100</v>
      </c>
      <c r="G9" s="77" t="s">
        <v>103</v>
      </c>
    </row>
    <row r="10" spans="1:18" ht="13.9" x14ac:dyDescent="0.25">
      <c r="A10" s="78">
        <v>38898</v>
      </c>
      <c r="B10" s="61">
        <v>10.14</v>
      </c>
      <c r="C10" s="34">
        <f t="shared" ref="C10:C17" si="0">LN(B10)</f>
        <v>2.3164879981630402</v>
      </c>
      <c r="D10" s="79">
        <v>2.2438798910486599</v>
      </c>
      <c r="E10" s="79">
        <v>7.2608107114384299E-2</v>
      </c>
      <c r="F10" s="79">
        <f t="shared" ref="F10:F19" si="1">EXP(D10)</f>
        <v>9.4298471824613106</v>
      </c>
      <c r="G10" s="80">
        <f>F11/F10-1</f>
        <v>5.5300000000000002E-2</v>
      </c>
    </row>
    <row r="11" spans="1:18" ht="13.9" x14ac:dyDescent="0.25">
      <c r="A11" s="78">
        <v>39263</v>
      </c>
      <c r="B11" s="61">
        <v>10.25</v>
      </c>
      <c r="C11" s="34">
        <f t="shared" si="0"/>
        <v>2.3272777055844198</v>
      </c>
      <c r="D11" s="79">
        <v>2.2976840029566898</v>
      </c>
      <c r="E11" s="79">
        <v>2.95937026277313E-2</v>
      </c>
      <c r="F11" s="79">
        <f t="shared" si="1"/>
        <v>9.9511090070718407</v>
      </c>
      <c r="G11" s="80"/>
    </row>
    <row r="12" spans="1:18" ht="13.9" x14ac:dyDescent="0.25">
      <c r="A12" s="78">
        <v>39629</v>
      </c>
      <c r="B12" s="61">
        <v>10.61</v>
      </c>
      <c r="C12" s="34">
        <f t="shared" si="0"/>
        <v>2.3617969526258902</v>
      </c>
      <c r="D12" s="79">
        <v>2.3516355233905002</v>
      </c>
      <c r="E12" s="79">
        <v>1.01614292353931E-2</v>
      </c>
      <c r="F12" s="79">
        <f t="shared" si="1"/>
        <v>10.5027331510418</v>
      </c>
      <c r="G12" s="80"/>
    </row>
    <row r="13" spans="1:18" ht="13.9" x14ac:dyDescent="0.25">
      <c r="A13" s="78">
        <v>39994</v>
      </c>
      <c r="B13" s="61">
        <v>10.9</v>
      </c>
      <c r="C13" s="34">
        <f t="shared" si="0"/>
        <v>2.3887627892351002</v>
      </c>
      <c r="D13" s="79">
        <v>2.4054396352985301</v>
      </c>
      <c r="E13" s="79">
        <v>-1.6676846063430301E-2</v>
      </c>
      <c r="F13" s="79">
        <f t="shared" si="1"/>
        <v>11.083301821962699</v>
      </c>
      <c r="G13" s="80"/>
    </row>
    <row r="14" spans="1:18" ht="13.9" x14ac:dyDescent="0.25">
      <c r="A14" s="78">
        <v>40359</v>
      </c>
      <c r="B14" s="61">
        <v>10.62</v>
      </c>
      <c r="C14" s="34">
        <f t="shared" si="0"/>
        <v>2.3627390158137902</v>
      </c>
      <c r="D14" s="79">
        <v>2.45924374720656</v>
      </c>
      <c r="E14" s="79">
        <v>-9.6504731392772894E-2</v>
      </c>
      <c r="F14" s="79">
        <f t="shared" si="1"/>
        <v>11.6959630898114</v>
      </c>
      <c r="G14" s="80"/>
    </row>
    <row r="15" spans="1:18" ht="13.9" x14ac:dyDescent="0.25">
      <c r="A15" s="78">
        <v>41182</v>
      </c>
      <c r="B15" s="61">
        <v>12.53</v>
      </c>
      <c r="C15" s="34">
        <f t="shared" si="0"/>
        <v>2.5281257689079801</v>
      </c>
      <c r="D15" s="79">
        <v>2.58056096391975</v>
      </c>
      <c r="E15" s="79">
        <v>-5.2435195011765003E-2</v>
      </c>
      <c r="F15" s="79">
        <f t="shared" si="1"/>
        <v>13.2045433548394</v>
      </c>
      <c r="G15" s="79"/>
    </row>
    <row r="16" spans="1:18" ht="13.9" x14ac:dyDescent="0.25">
      <c r="A16" s="78">
        <v>41547</v>
      </c>
      <c r="B16" s="61">
        <v>12.93</v>
      </c>
      <c r="C16" s="34">
        <f t="shared" si="0"/>
        <v>2.5595501927837701</v>
      </c>
      <c r="D16" s="79">
        <v>2.6343650758277799</v>
      </c>
      <c r="E16" s="79">
        <v>-7.4814883044007602E-2</v>
      </c>
      <c r="F16" s="79">
        <f t="shared" si="1"/>
        <v>13.934462326919199</v>
      </c>
      <c r="G16" s="79"/>
    </row>
    <row r="17" spans="1:7" ht="13.9" x14ac:dyDescent="0.25">
      <c r="A17" s="78">
        <v>41912</v>
      </c>
      <c r="B17" s="61">
        <v>14.65</v>
      </c>
      <c r="C17" s="34">
        <f t="shared" si="0"/>
        <v>2.6844403354630799</v>
      </c>
      <c r="D17" s="79">
        <v>2.6881691877358098</v>
      </c>
      <c r="E17" s="79">
        <v>-3.7288522727312299E-3</v>
      </c>
      <c r="F17" s="79">
        <f t="shared" si="1"/>
        <v>14.7047296617925</v>
      </c>
      <c r="G17" s="79"/>
    </row>
    <row r="18" spans="1:7" ht="13.9" x14ac:dyDescent="0.25">
      <c r="A18" s="78">
        <v>42277</v>
      </c>
      <c r="B18" s="61">
        <v>16.54</v>
      </c>
      <c r="C18" s="34">
        <f t="shared" ref="C18:C19" si="2">LN(B18)</f>
        <v>2.8057816895955501</v>
      </c>
      <c r="D18" s="79">
        <v>2.7419732996438402</v>
      </c>
      <c r="E18" s="79">
        <v>6.3808389951706304E-2</v>
      </c>
      <c r="F18" s="79">
        <f t="shared" si="1"/>
        <v>15.5175757308323</v>
      </c>
      <c r="G18" s="47"/>
    </row>
    <row r="19" spans="1:7" ht="13.9" x14ac:dyDescent="0.25">
      <c r="A19" s="78">
        <v>42643</v>
      </c>
      <c r="B19" s="61">
        <v>17.53</v>
      </c>
      <c r="C19" s="47">
        <f t="shared" si="2"/>
        <v>2.86391369893314</v>
      </c>
      <c r="D19" s="47">
        <v>2.7959248200776501</v>
      </c>
      <c r="E19" s="47">
        <v>6.7988878855487697E-2</v>
      </c>
      <c r="F19" s="79">
        <f t="shared" si="1"/>
        <v>16.3777682403231</v>
      </c>
      <c r="G19" s="47"/>
    </row>
    <row r="20" spans="1:7" ht="13.9" x14ac:dyDescent="0.25">
      <c r="A20" s="47"/>
      <c r="B20" s="47"/>
      <c r="C20" s="47"/>
      <c r="D20" s="47"/>
      <c r="E20" s="47"/>
      <c r="F20" s="47"/>
      <c r="G20" s="47"/>
    </row>
    <row r="21" spans="1:7" ht="13.9" x14ac:dyDescent="0.25">
      <c r="A21" s="47" t="s">
        <v>85</v>
      </c>
      <c r="B21" s="47"/>
      <c r="C21" s="47"/>
      <c r="D21" s="47"/>
      <c r="E21" s="47"/>
      <c r="F21" s="47"/>
      <c r="G21" s="47"/>
    </row>
    <row r="22" spans="1:7" ht="13.9" x14ac:dyDescent="0.25">
      <c r="A22" s="81"/>
      <c r="B22" s="77" t="s">
        <v>89</v>
      </c>
      <c r="C22" s="77" t="s">
        <v>90</v>
      </c>
      <c r="D22" s="77" t="s">
        <v>91</v>
      </c>
      <c r="E22" s="77" t="s">
        <v>92</v>
      </c>
      <c r="F22" s="77" t="s">
        <v>93</v>
      </c>
      <c r="G22" s="47"/>
    </row>
    <row r="23" spans="1:7" ht="13.9" x14ac:dyDescent="0.25">
      <c r="A23" s="79" t="s">
        <v>86</v>
      </c>
      <c r="B23" s="79">
        <v>1</v>
      </c>
      <c r="C23" s="79">
        <v>0.341263115915521</v>
      </c>
      <c r="D23" s="79">
        <v>0.341263115915521</v>
      </c>
      <c r="E23" s="79">
        <v>82.989786649107401</v>
      </c>
      <c r="F23" s="79">
        <v>1.6948182678993498E-5</v>
      </c>
      <c r="G23" s="47"/>
    </row>
    <row r="24" spans="1:7" ht="13.9" x14ac:dyDescent="0.25">
      <c r="A24" s="79" t="s">
        <v>87</v>
      </c>
      <c r="B24" s="79">
        <v>8</v>
      </c>
      <c r="C24" s="79">
        <v>3.2896878490210398E-2</v>
      </c>
      <c r="D24" s="79">
        <v>4.1121098112762997E-3</v>
      </c>
      <c r="E24" s="79"/>
      <c r="F24" s="79"/>
      <c r="G24" s="47"/>
    </row>
    <row r="25" spans="1:7" ht="13.9" x14ac:dyDescent="0.25">
      <c r="A25" s="79" t="s">
        <v>30</v>
      </c>
      <c r="B25" s="79">
        <v>9</v>
      </c>
      <c r="C25" s="79">
        <v>0.374159994405732</v>
      </c>
      <c r="D25" s="79"/>
      <c r="E25" s="79"/>
      <c r="F25" s="79"/>
      <c r="G25" s="47"/>
    </row>
    <row r="26" spans="1:7" ht="13.9" x14ac:dyDescent="0.25">
      <c r="A26" s="47"/>
      <c r="B26" s="47"/>
      <c r="C26" s="47"/>
      <c r="D26" s="47"/>
      <c r="E26" s="47"/>
      <c r="F26" s="47"/>
      <c r="G26" s="47"/>
    </row>
    <row r="27" spans="1:7" ht="13.9" x14ac:dyDescent="0.25">
      <c r="A27" s="81"/>
      <c r="B27" s="76" t="s">
        <v>94</v>
      </c>
      <c r="C27" s="76" t="s">
        <v>169</v>
      </c>
      <c r="D27" s="76" t="s">
        <v>142</v>
      </c>
      <c r="E27" s="76" t="s">
        <v>95</v>
      </c>
      <c r="F27" s="76" t="s">
        <v>96</v>
      </c>
      <c r="G27" s="76" t="s">
        <v>97</v>
      </c>
    </row>
    <row r="28" spans="1:7" ht="13.9" x14ac:dyDescent="0.25">
      <c r="A28" s="79" t="s">
        <v>88</v>
      </c>
      <c r="B28" s="79">
        <v>-3.49001694456414</v>
      </c>
      <c r="C28" s="79">
        <v>0.66002490272996295</v>
      </c>
      <c r="D28" s="79">
        <v>-5.2877049489025296</v>
      </c>
      <c r="E28" s="79">
        <v>7.3928669766794904E-4</v>
      </c>
      <c r="F28" s="79">
        <v>-5.0120370995971602</v>
      </c>
      <c r="G28" s="79">
        <v>-1.9679967895311099</v>
      </c>
    </row>
    <row r="29" spans="1:7" ht="13.9" x14ac:dyDescent="0.25">
      <c r="A29" s="79" t="s">
        <v>98</v>
      </c>
      <c r="B29" s="79">
        <v>1.4740852577543301E-4</v>
      </c>
      <c r="C29" s="79">
        <v>1.61811833454279E-5</v>
      </c>
      <c r="D29" s="79">
        <v>9.1098730314482097</v>
      </c>
      <c r="E29" s="79">
        <v>1.69481826789936E-5</v>
      </c>
      <c r="F29" s="79">
        <v>1.10094650068379E-4</v>
      </c>
      <c r="G29" s="79">
        <v>1.84722401482487E-4</v>
      </c>
    </row>
    <row r="30" spans="1:7" ht="13.9" x14ac:dyDescent="0.25">
      <c r="A30" s="47"/>
      <c r="B30" s="47"/>
      <c r="C30" s="47"/>
      <c r="D30" s="47"/>
      <c r="E30" s="47"/>
      <c r="F30" s="47"/>
      <c r="G30" s="47"/>
    </row>
    <row r="31" spans="1:7" ht="13.9" x14ac:dyDescent="0.25">
      <c r="A31" s="47"/>
      <c r="B31" s="47"/>
      <c r="C31" s="47"/>
      <c r="D31" s="47"/>
      <c r="E31" s="47"/>
      <c r="F31" s="47"/>
      <c r="G31" s="47"/>
    </row>
    <row r="32" spans="1:7" ht="13.9" x14ac:dyDescent="0.25">
      <c r="A32" s="47"/>
      <c r="B32" s="47"/>
      <c r="C32" s="47"/>
      <c r="D32" s="47"/>
      <c r="E32" s="47"/>
      <c r="F32" s="47"/>
      <c r="G32" s="47"/>
    </row>
    <row r="33" spans="1:7" ht="13.9" x14ac:dyDescent="0.25">
      <c r="A33" s="83" t="s">
        <v>81</v>
      </c>
      <c r="B33" s="82"/>
      <c r="C33" s="47"/>
      <c r="D33" s="47"/>
      <c r="E33" s="47"/>
      <c r="F33" s="47"/>
      <c r="G33" s="47"/>
    </row>
    <row r="34" spans="1:7" ht="13.9" x14ac:dyDescent="0.25">
      <c r="A34" s="79" t="s">
        <v>82</v>
      </c>
      <c r="B34" s="79">
        <v>0.95502777142874595</v>
      </c>
      <c r="C34" s="47"/>
      <c r="D34" s="47"/>
      <c r="E34" s="47"/>
      <c r="F34" s="47"/>
      <c r="G34" s="47"/>
    </row>
    <row r="35" spans="1:7" ht="13.9" x14ac:dyDescent="0.25">
      <c r="A35" s="79" t="s">
        <v>83</v>
      </c>
      <c r="B35" s="79">
        <v>0.91207804420015703</v>
      </c>
      <c r="C35" s="47"/>
      <c r="D35" s="47"/>
      <c r="E35" s="47"/>
      <c r="F35" s="47"/>
      <c r="G35" s="47"/>
    </row>
    <row r="36" spans="1:7" ht="13.9" x14ac:dyDescent="0.25">
      <c r="A36" s="79" t="s">
        <v>175</v>
      </c>
      <c r="B36" s="79">
        <v>0.90108779972517605</v>
      </c>
      <c r="C36" s="47"/>
      <c r="D36" s="47"/>
      <c r="E36" s="47"/>
      <c r="F36" s="47"/>
      <c r="G36" s="47"/>
    </row>
    <row r="37" spans="1:7" ht="13.9" x14ac:dyDescent="0.25">
      <c r="A37" s="79" t="s">
        <v>169</v>
      </c>
      <c r="B37" s="79">
        <v>6.4125734391711306E-2</v>
      </c>
      <c r="C37" s="47"/>
      <c r="D37" s="47"/>
      <c r="E37" s="47"/>
      <c r="F37" s="47"/>
      <c r="G37" s="47"/>
    </row>
    <row r="38" spans="1:7" ht="14.45" thickBot="1" x14ac:dyDescent="0.3">
      <c r="A38" s="97" t="s">
        <v>84</v>
      </c>
      <c r="B38" s="97">
        <v>10</v>
      </c>
      <c r="C38" s="47"/>
      <c r="D38" s="47"/>
      <c r="E38" s="47"/>
      <c r="F38" s="47"/>
      <c r="G38" s="47"/>
    </row>
    <row r="39" spans="1:7" ht="13.9" x14ac:dyDescent="0.25">
      <c r="A39" s="47"/>
      <c r="B39" s="47"/>
      <c r="C39" s="47"/>
      <c r="D39" s="47"/>
      <c r="E39" s="47"/>
      <c r="F39" s="47"/>
      <c r="G39" s="47"/>
    </row>
    <row r="40" spans="1:7" ht="13.9" x14ac:dyDescent="0.25">
      <c r="A40" s="47"/>
      <c r="B40" s="47"/>
      <c r="C40" s="47"/>
      <c r="D40" s="47"/>
      <c r="E40" s="47"/>
      <c r="F40" s="47"/>
      <c r="G40" s="47"/>
    </row>
    <row r="41" spans="1:7" ht="13.9" x14ac:dyDescent="0.25">
      <c r="A41" s="39"/>
      <c r="B41" s="39"/>
      <c r="C41" s="39"/>
      <c r="D41" s="39"/>
      <c r="E41" s="39"/>
      <c r="F41" s="39"/>
      <c r="G41" s="47"/>
    </row>
    <row r="42" spans="1:7" ht="13.9" x14ac:dyDescent="0.25">
      <c r="A42" s="47"/>
      <c r="B42" s="47"/>
      <c r="C42" s="47"/>
      <c r="D42" s="47"/>
      <c r="E42" s="47"/>
      <c r="F42" s="47"/>
      <c r="G42" s="47"/>
    </row>
    <row r="43" spans="1:7" ht="13.9" x14ac:dyDescent="0.25">
      <c r="A43" s="47"/>
      <c r="B43" s="47"/>
      <c r="C43" s="47"/>
      <c r="D43" s="47"/>
      <c r="E43" s="47"/>
      <c r="F43" s="47"/>
      <c r="G43" s="47"/>
    </row>
    <row r="44" spans="1:7" ht="13.9" x14ac:dyDescent="0.25">
      <c r="A44" s="47"/>
      <c r="B44" s="47"/>
      <c r="C44" s="47"/>
      <c r="D44" s="47"/>
      <c r="E44" s="47"/>
      <c r="F44" s="47"/>
      <c r="G44" s="47"/>
    </row>
    <row r="45" spans="1:7" ht="13.9" x14ac:dyDescent="0.25">
      <c r="A45" s="47"/>
      <c r="B45" s="47"/>
      <c r="C45" s="47"/>
      <c r="D45" s="47"/>
      <c r="E45" s="47"/>
      <c r="F45" s="47"/>
      <c r="G45" s="47"/>
    </row>
    <row r="46" spans="1:7" ht="13.9" x14ac:dyDescent="0.25">
      <c r="A46" s="47"/>
      <c r="B46" s="47"/>
      <c r="C46" s="47"/>
      <c r="D46" s="47"/>
      <c r="E46" s="47"/>
      <c r="F46" s="47"/>
      <c r="G46" s="47"/>
    </row>
    <row r="47" spans="1:7" ht="13.9" x14ac:dyDescent="0.25">
      <c r="A47" s="47"/>
      <c r="B47" s="47"/>
      <c r="C47" s="47"/>
      <c r="D47" s="47"/>
      <c r="E47" s="47"/>
      <c r="F47" s="47"/>
      <c r="G47" s="47"/>
    </row>
    <row r="48" spans="1:7" ht="13.9" x14ac:dyDescent="0.25">
      <c r="A48" s="47"/>
      <c r="B48" s="47"/>
      <c r="C48" s="47"/>
      <c r="D48" s="47"/>
      <c r="E48" s="47"/>
      <c r="F48" s="47"/>
      <c r="G48" s="47"/>
    </row>
    <row r="49" spans="1:7" ht="13.9" x14ac:dyDescent="0.25">
      <c r="A49" s="47"/>
      <c r="B49" s="47"/>
      <c r="C49" s="47"/>
      <c r="D49" s="47"/>
      <c r="E49" s="47"/>
      <c r="F49" s="47"/>
      <c r="G49" s="47"/>
    </row>
    <row r="50" spans="1:7" ht="13.9" x14ac:dyDescent="0.25">
      <c r="A50" s="47"/>
      <c r="B50" s="47"/>
      <c r="C50" s="47"/>
      <c r="D50" s="47"/>
      <c r="E50" s="47"/>
      <c r="F50" s="47"/>
      <c r="G50" s="47"/>
    </row>
  </sheetData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workbookViewId="0">
      <pane xSplit="3" ySplit="12" topLeftCell="D13" activePane="bottomRight" state="frozen"/>
      <selection pane="topRight" activeCell="D1" sqref="D1"/>
      <selection pane="bottomLeft" activeCell="A14" sqref="A14"/>
      <selection pane="bottomRight" activeCell="O1" sqref="O1:Q1048576"/>
    </sheetView>
  </sheetViews>
  <sheetFormatPr defaultColWidth="9.140625" defaultRowHeight="15" x14ac:dyDescent="0.25"/>
  <cols>
    <col min="1" max="1" width="6.7109375" style="24" bestFit="1" customWidth="1"/>
    <col min="2" max="2" width="1.5703125" style="24" customWidth="1"/>
    <col min="3" max="3" width="13.85546875" style="24" customWidth="1"/>
    <col min="4" max="4" width="4.28515625" style="24" customWidth="1"/>
    <col min="5" max="10" width="12.42578125" style="46" bestFit="1" customWidth="1"/>
    <col min="11" max="11" width="8.42578125" style="53" bestFit="1" customWidth="1"/>
    <col min="12" max="12" width="12.42578125" style="46" bestFit="1" customWidth="1"/>
    <col min="13" max="13" width="10.7109375" style="31" bestFit="1" customWidth="1"/>
    <col min="14" max="14" width="7.5703125" style="24" customWidth="1"/>
    <col min="15" max="15" width="10.42578125" style="24" bestFit="1" customWidth="1"/>
    <col min="16" max="16" width="13.85546875" style="24" bestFit="1" customWidth="1"/>
    <col min="17" max="17" width="10.7109375" style="24" bestFit="1" customWidth="1"/>
    <col min="18" max="16384" width="9.140625" style="24"/>
  </cols>
  <sheetData>
    <row r="1" spans="1:17" ht="13.9" x14ac:dyDescent="0.25">
      <c r="N1" s="45"/>
    </row>
    <row r="2" spans="1:17" ht="13.9" x14ac:dyDescent="0.25">
      <c r="N2" s="25" t="s">
        <v>38</v>
      </c>
    </row>
    <row r="3" spans="1:17" ht="13.9" x14ac:dyDescent="0.25">
      <c r="N3" s="25" t="s">
        <v>228</v>
      </c>
    </row>
    <row r="5" spans="1:17" ht="13.9" x14ac:dyDescent="0.25">
      <c r="E5" s="49" t="s">
        <v>220</v>
      </c>
      <c r="F5" s="49"/>
      <c r="G5" s="49"/>
      <c r="H5" s="49"/>
      <c r="I5" s="49"/>
      <c r="J5" s="49"/>
      <c r="K5" s="54"/>
      <c r="L5" s="49"/>
      <c r="M5" s="49"/>
      <c r="N5" s="49"/>
    </row>
    <row r="7" spans="1:17" ht="13.9" x14ac:dyDescent="0.25">
      <c r="E7" s="50" t="s">
        <v>17</v>
      </c>
      <c r="F7" s="50" t="s">
        <v>18</v>
      </c>
      <c r="G7" s="50" t="s">
        <v>19</v>
      </c>
      <c r="H7" s="50" t="s">
        <v>20</v>
      </c>
      <c r="I7" s="50" t="s">
        <v>21</v>
      </c>
      <c r="J7" s="50" t="s">
        <v>22</v>
      </c>
      <c r="K7" s="55" t="s">
        <v>23</v>
      </c>
      <c r="L7" s="50" t="s">
        <v>27</v>
      </c>
      <c r="M7" s="50" t="s">
        <v>35</v>
      </c>
      <c r="N7" s="50" t="s">
        <v>36</v>
      </c>
    </row>
    <row r="8" spans="1:17" ht="6" customHeight="1" x14ac:dyDescent="0.25">
      <c r="E8" s="50"/>
      <c r="F8" s="50"/>
      <c r="G8" s="50"/>
      <c r="H8" s="50"/>
      <c r="I8" s="50"/>
      <c r="J8" s="50"/>
      <c r="K8" s="55"/>
      <c r="L8" s="50"/>
    </row>
    <row r="9" spans="1:17" x14ac:dyDescent="0.25">
      <c r="E9" s="50"/>
      <c r="F9" s="50"/>
      <c r="G9" s="50" t="s">
        <v>25</v>
      </c>
      <c r="H9" s="50"/>
      <c r="I9" s="50"/>
      <c r="J9" s="50" t="s">
        <v>24</v>
      </c>
      <c r="K9" s="55" t="s">
        <v>37</v>
      </c>
      <c r="L9" s="56" t="s">
        <v>29</v>
      </c>
    </row>
    <row r="10" spans="1:17" ht="6" customHeight="1" x14ac:dyDescent="0.25">
      <c r="E10" s="51"/>
      <c r="F10" s="51"/>
      <c r="G10" s="51"/>
      <c r="H10" s="51"/>
      <c r="I10" s="51"/>
      <c r="J10" s="51"/>
      <c r="K10" s="57"/>
    </row>
    <row r="11" spans="1:17" ht="13.9" x14ac:dyDescent="0.25">
      <c r="E11" s="45"/>
      <c r="F11" s="45"/>
      <c r="G11" s="45"/>
      <c r="H11" s="45"/>
      <c r="I11" s="45"/>
      <c r="J11" s="45" t="s">
        <v>15</v>
      </c>
      <c r="K11" s="58" t="s">
        <v>14</v>
      </c>
      <c r="L11" s="45" t="s">
        <v>28</v>
      </c>
      <c r="N11" s="45" t="s">
        <v>34</v>
      </c>
    </row>
    <row r="12" spans="1:17" s="20" customFormat="1" ht="13.9" x14ac:dyDescent="0.25">
      <c r="C12" s="20" t="s">
        <v>16</v>
      </c>
      <c r="E12" s="40" t="s">
        <v>10</v>
      </c>
      <c r="F12" s="40" t="s">
        <v>11</v>
      </c>
      <c r="G12" s="40" t="s">
        <v>12</v>
      </c>
      <c r="H12" s="40" t="s">
        <v>14</v>
      </c>
      <c r="I12" s="40" t="s">
        <v>13</v>
      </c>
      <c r="J12" s="40" t="s">
        <v>14</v>
      </c>
      <c r="K12" s="41" t="s">
        <v>26</v>
      </c>
      <c r="L12" s="40" t="s">
        <v>13</v>
      </c>
      <c r="M12" s="91" t="s">
        <v>32</v>
      </c>
      <c r="N12" s="21" t="s">
        <v>33</v>
      </c>
      <c r="O12" s="43"/>
    </row>
    <row r="13" spans="1:17" ht="13.9" x14ac:dyDescent="0.25">
      <c r="A13" s="24">
        <v>1</v>
      </c>
      <c r="B13" s="24" t="s">
        <v>31</v>
      </c>
      <c r="C13" s="24" t="s">
        <v>44</v>
      </c>
      <c r="D13" s="24" t="s">
        <v>45</v>
      </c>
      <c r="E13" s="46">
        <v>572123</v>
      </c>
      <c r="F13" s="46">
        <v>195031</v>
      </c>
      <c r="G13" s="45">
        <f t="shared" ref="G13:G17" si="0">+F13+E13</f>
        <v>767154</v>
      </c>
      <c r="H13" s="46">
        <v>85696</v>
      </c>
      <c r="I13" s="46">
        <v>51205</v>
      </c>
      <c r="J13" s="46">
        <f>G13-H13</f>
        <v>681458</v>
      </c>
      <c r="K13" s="53">
        <f>H13/J13</f>
        <v>0.1258</v>
      </c>
      <c r="L13" s="46">
        <f>I13*(1+K13)</f>
        <v>57647</v>
      </c>
      <c r="M13" s="31">
        <v>4413</v>
      </c>
      <c r="N13" s="59">
        <f>L13/M13</f>
        <v>13.06</v>
      </c>
      <c r="O13" s="96"/>
      <c r="P13" s="31"/>
      <c r="Q13" s="46"/>
    </row>
    <row r="14" spans="1:17" ht="13.9" x14ac:dyDescent="0.25">
      <c r="A14" s="24">
        <v>1</v>
      </c>
      <c r="B14" s="24" t="s">
        <v>31</v>
      </c>
      <c r="C14" s="24" t="s">
        <v>75</v>
      </c>
      <c r="D14" s="24" t="s">
        <v>46</v>
      </c>
      <c r="E14" s="46">
        <f>572123-25062</f>
        <v>547061</v>
      </c>
      <c r="F14" s="46">
        <v>330815</v>
      </c>
      <c r="G14" s="45">
        <f t="shared" ref="G14" si="1">+F14+E14</f>
        <v>877876</v>
      </c>
      <c r="H14" s="46">
        <v>203962</v>
      </c>
      <c r="I14" s="46">
        <v>108819</v>
      </c>
      <c r="J14" s="46">
        <f>G14-H14</f>
        <v>673914</v>
      </c>
      <c r="K14" s="53">
        <f>H14/J14</f>
        <v>0.30270000000000002</v>
      </c>
      <c r="L14" s="46">
        <f>I14*(1+K14)</f>
        <v>141759</v>
      </c>
      <c r="M14" s="31">
        <v>9368</v>
      </c>
      <c r="N14" s="59">
        <f>L14/M14</f>
        <v>15.13</v>
      </c>
      <c r="O14" s="96"/>
      <c r="P14" s="31"/>
      <c r="Q14" s="46"/>
    </row>
    <row r="15" spans="1:17" ht="13.9" x14ac:dyDescent="0.25">
      <c r="A15" s="24">
        <f>A13+1</f>
        <v>2</v>
      </c>
      <c r="B15" s="24" t="s">
        <v>31</v>
      </c>
      <c r="C15" s="24" t="s">
        <v>140</v>
      </c>
      <c r="D15" s="24" t="s">
        <v>47</v>
      </c>
      <c r="E15" s="46">
        <f>1975292-114339</f>
        <v>1860953</v>
      </c>
      <c r="F15" s="46">
        <v>3731190</v>
      </c>
      <c r="G15" s="45">
        <f t="shared" si="0"/>
        <v>5592143</v>
      </c>
      <c r="H15" s="46">
        <v>2186044</v>
      </c>
      <c r="I15" s="46">
        <v>1327130</v>
      </c>
      <c r="J15" s="46">
        <f>G15-H15</f>
        <v>3406099</v>
      </c>
      <c r="K15" s="53">
        <f t="shared" ref="K15:K34" si="2">H15/J15</f>
        <v>0.64180000000000004</v>
      </c>
      <c r="L15" s="46">
        <f t="shared" ref="L15:L16" si="3">I15*(1+K15)</f>
        <v>2178882</v>
      </c>
      <c r="M15" s="31">
        <v>122061</v>
      </c>
      <c r="N15" s="59">
        <f t="shared" ref="N15:N34" si="4">L15/M15</f>
        <v>17.850000000000001</v>
      </c>
      <c r="O15" s="96"/>
      <c r="P15" s="31"/>
      <c r="Q15" s="46"/>
    </row>
    <row r="16" spans="1:17" ht="13.9" x14ac:dyDescent="0.25">
      <c r="A16" s="24">
        <v>3</v>
      </c>
      <c r="B16" s="24" t="s">
        <v>31</v>
      </c>
      <c r="C16" s="24" t="s">
        <v>0</v>
      </c>
      <c r="D16" s="24" t="s">
        <v>50</v>
      </c>
      <c r="E16" s="46">
        <f>20891058-239125</f>
        <v>20651933</v>
      </c>
      <c r="F16" s="46">
        <v>7791621</v>
      </c>
      <c r="G16" s="45">
        <f t="shared" si="0"/>
        <v>28443554</v>
      </c>
      <c r="H16" s="46">
        <v>2064438</v>
      </c>
      <c r="I16" s="46">
        <v>3246437</v>
      </c>
      <c r="J16" s="46">
        <f t="shared" ref="J16:J34" si="5">G16-H16</f>
        <v>26379116</v>
      </c>
      <c r="K16" s="53">
        <f t="shared" si="2"/>
        <v>7.8299999999999995E-2</v>
      </c>
      <c r="L16" s="46">
        <f t="shared" si="3"/>
        <v>3500633</v>
      </c>
      <c r="M16" s="31">
        <v>286621</v>
      </c>
      <c r="N16" s="59">
        <f t="shared" si="4"/>
        <v>12.21</v>
      </c>
      <c r="O16" s="96"/>
      <c r="P16" s="31"/>
      <c r="Q16" s="46"/>
    </row>
    <row r="17" spans="1:17" ht="13.9" x14ac:dyDescent="0.25">
      <c r="C17" s="47" t="s">
        <v>242</v>
      </c>
      <c r="D17" s="47" t="s">
        <v>51</v>
      </c>
      <c r="E17" s="48">
        <f>43646231-397647</f>
        <v>43248584</v>
      </c>
      <c r="F17" s="48">
        <v>29623164</v>
      </c>
      <c r="G17" s="45">
        <f t="shared" si="0"/>
        <v>72871748</v>
      </c>
      <c r="H17" s="48">
        <v>12027684</v>
      </c>
      <c r="I17" s="48">
        <v>8169669</v>
      </c>
      <c r="J17" s="46">
        <f t="shared" si="5"/>
        <v>60844064</v>
      </c>
      <c r="K17" s="53">
        <f t="shared" si="2"/>
        <v>0.19769999999999999</v>
      </c>
      <c r="L17" s="68">
        <f>I17*(1+K17)</f>
        <v>9784813</v>
      </c>
      <c r="M17" s="69">
        <v>839616</v>
      </c>
      <c r="N17" s="60">
        <f>L17/M17</f>
        <v>11.65</v>
      </c>
      <c r="O17" s="96"/>
      <c r="P17" s="31"/>
      <c r="Q17" s="46"/>
    </row>
    <row r="18" spans="1:17" ht="13.9" x14ac:dyDescent="0.25">
      <c r="A18" s="24">
        <v>4</v>
      </c>
      <c r="C18" s="47" t="s">
        <v>243</v>
      </c>
      <c r="D18" s="47"/>
      <c r="E18" s="48"/>
      <c r="F18" s="48"/>
      <c r="G18" s="48"/>
      <c r="H18" s="48"/>
      <c r="I18" s="48"/>
      <c r="L18" s="46">
        <f>L17*M18/M17</f>
        <v>689749</v>
      </c>
      <c r="M18" s="44">
        <v>59186</v>
      </c>
      <c r="N18" s="59">
        <f t="shared" si="4"/>
        <v>11.65</v>
      </c>
      <c r="O18" s="96"/>
      <c r="P18" s="31"/>
      <c r="Q18" s="46"/>
    </row>
    <row r="19" spans="1:17" ht="13.9" x14ac:dyDescent="0.25">
      <c r="A19" s="24">
        <f t="shared" ref="A19:A23" si="6">A18+1</f>
        <v>5</v>
      </c>
      <c r="B19" s="24" t="s">
        <v>31</v>
      </c>
      <c r="C19" s="24" t="s">
        <v>141</v>
      </c>
      <c r="D19" s="24" t="s">
        <v>53</v>
      </c>
      <c r="E19" s="46">
        <f>21372865-81886</f>
        <v>21290979</v>
      </c>
      <c r="F19" s="46">
        <v>11534754</v>
      </c>
      <c r="G19" s="45">
        <f t="shared" ref="G19:G34" si="7">+F19+E19</f>
        <v>32825733</v>
      </c>
      <c r="H19" s="46">
        <v>3222626</v>
      </c>
      <c r="I19" s="46">
        <v>6923950</v>
      </c>
      <c r="J19" s="46">
        <f t="shared" si="5"/>
        <v>29603107</v>
      </c>
      <c r="K19" s="53">
        <f t="shared" si="2"/>
        <v>0.1089</v>
      </c>
      <c r="L19" s="46">
        <f t="shared" ref="L19:L34" si="8">I19*(1+K19)</f>
        <v>7677968</v>
      </c>
      <c r="M19" s="31">
        <v>345139</v>
      </c>
      <c r="N19" s="59">
        <f t="shared" si="4"/>
        <v>22.25</v>
      </c>
      <c r="O19" s="96"/>
      <c r="P19" s="31"/>
      <c r="Q19" s="46"/>
    </row>
    <row r="20" spans="1:17" ht="13.9" x14ac:dyDescent="0.25">
      <c r="A20" s="24">
        <f t="shared" si="6"/>
        <v>6</v>
      </c>
      <c r="C20" s="47" t="s">
        <v>1</v>
      </c>
      <c r="D20" s="47" t="s">
        <v>54</v>
      </c>
      <c r="E20" s="48">
        <f>56985071-554050</f>
        <v>56431021</v>
      </c>
      <c r="F20" s="48">
        <v>27748471</v>
      </c>
      <c r="G20" s="45">
        <f t="shared" si="7"/>
        <v>84179492</v>
      </c>
      <c r="H20" s="45">
        <v>8833890</v>
      </c>
      <c r="I20" s="48">
        <v>13124581</v>
      </c>
      <c r="J20" s="46">
        <f t="shared" si="5"/>
        <v>75345602</v>
      </c>
      <c r="K20" s="53">
        <f t="shared" si="2"/>
        <v>0.1172</v>
      </c>
      <c r="L20" s="48">
        <f>I20*(1+K20)</f>
        <v>14662782</v>
      </c>
      <c r="M20" s="44">
        <v>870723</v>
      </c>
      <c r="N20" s="61">
        <f>L20/M20</f>
        <v>16.84</v>
      </c>
      <c r="O20" s="96"/>
      <c r="P20" s="31"/>
      <c r="Q20" s="46"/>
    </row>
    <row r="21" spans="1:17" ht="13.9" x14ac:dyDescent="0.25">
      <c r="A21" s="24">
        <v>7</v>
      </c>
      <c r="B21" s="24" t="s">
        <v>31</v>
      </c>
      <c r="C21" s="24" t="s">
        <v>2</v>
      </c>
      <c r="D21" s="24" t="s">
        <v>56</v>
      </c>
      <c r="E21" s="46">
        <f>1866505-109172</f>
        <v>1757333</v>
      </c>
      <c r="F21" s="46">
        <v>264084</v>
      </c>
      <c r="G21" s="45">
        <f t="shared" si="7"/>
        <v>2021417</v>
      </c>
      <c r="H21" s="46">
        <v>87927</v>
      </c>
      <c r="I21" s="46">
        <v>88824</v>
      </c>
      <c r="J21" s="46">
        <f t="shared" si="5"/>
        <v>1933490</v>
      </c>
      <c r="K21" s="53">
        <f t="shared" si="2"/>
        <v>4.5499999999999999E-2</v>
      </c>
      <c r="L21" s="46">
        <f t="shared" si="8"/>
        <v>92865</v>
      </c>
      <c r="M21" s="31">
        <v>33324</v>
      </c>
      <c r="N21" s="59">
        <f t="shared" si="4"/>
        <v>2.79</v>
      </c>
      <c r="O21" s="96"/>
      <c r="P21" s="31"/>
      <c r="Q21" s="46"/>
    </row>
    <row r="22" spans="1:17" ht="13.9" x14ac:dyDescent="0.25">
      <c r="A22" s="24">
        <f t="shared" si="6"/>
        <v>8</v>
      </c>
      <c r="B22" s="24" t="s">
        <v>31</v>
      </c>
      <c r="C22" s="24" t="s">
        <v>211</v>
      </c>
      <c r="D22" s="24" t="s">
        <v>58</v>
      </c>
      <c r="E22" s="46">
        <f>1975292-39311</f>
        <v>1935981</v>
      </c>
      <c r="F22" s="46">
        <v>1085963</v>
      </c>
      <c r="G22" s="45">
        <f t="shared" si="7"/>
        <v>3021944</v>
      </c>
      <c r="H22" s="46">
        <v>439176</v>
      </c>
      <c r="I22" s="46">
        <v>496016</v>
      </c>
      <c r="J22" s="46">
        <f t="shared" si="5"/>
        <v>2582768</v>
      </c>
      <c r="K22" s="53">
        <f t="shared" si="2"/>
        <v>0.17</v>
      </c>
      <c r="L22" s="46">
        <f t="shared" si="8"/>
        <v>580339</v>
      </c>
      <c r="M22" s="31">
        <v>42070</v>
      </c>
      <c r="N22" s="59">
        <f t="shared" si="4"/>
        <v>13.79</v>
      </c>
      <c r="O22" s="96"/>
      <c r="P22" s="31"/>
      <c r="Q22" s="46"/>
    </row>
    <row r="23" spans="1:17" ht="13.9" x14ac:dyDescent="0.25">
      <c r="A23" s="24">
        <f t="shared" si="6"/>
        <v>9</v>
      </c>
      <c r="B23" s="24" t="s">
        <v>31</v>
      </c>
      <c r="C23" s="24" t="s">
        <v>3</v>
      </c>
      <c r="D23" s="24" t="s">
        <v>60</v>
      </c>
      <c r="E23" s="46">
        <f>1560268-43379</f>
        <v>1516889</v>
      </c>
      <c r="F23" s="46">
        <v>1033324</v>
      </c>
      <c r="G23" s="45">
        <f t="shared" si="7"/>
        <v>2550213</v>
      </c>
      <c r="H23" s="46">
        <v>431419</v>
      </c>
      <c r="I23" s="46">
        <v>475289</v>
      </c>
      <c r="J23" s="46">
        <f t="shared" si="5"/>
        <v>2118794</v>
      </c>
      <c r="K23" s="53">
        <f t="shared" si="2"/>
        <v>0.2036</v>
      </c>
      <c r="L23" s="46">
        <f t="shared" si="8"/>
        <v>572058</v>
      </c>
      <c r="M23" s="31">
        <v>45952</v>
      </c>
      <c r="N23" s="59">
        <f t="shared" si="4"/>
        <v>12.45</v>
      </c>
      <c r="O23" s="96"/>
      <c r="P23" s="31"/>
      <c r="Q23" s="46"/>
    </row>
    <row r="24" spans="1:17" ht="13.9" x14ac:dyDescent="0.25">
      <c r="C24" s="24" t="s">
        <v>76</v>
      </c>
      <c r="D24" s="24" t="s">
        <v>61</v>
      </c>
      <c r="E24" s="46">
        <f>63759230-488921</f>
        <v>63270309</v>
      </c>
      <c r="F24" s="46">
        <v>32624547</v>
      </c>
      <c r="G24" s="45">
        <f t="shared" si="7"/>
        <v>95894856</v>
      </c>
      <c r="H24" s="46">
        <v>9115847</v>
      </c>
      <c r="I24" s="46">
        <v>11204527</v>
      </c>
      <c r="J24" s="46">
        <f t="shared" si="5"/>
        <v>86779009</v>
      </c>
      <c r="K24" s="53">
        <f t="shared" si="2"/>
        <v>0.105</v>
      </c>
      <c r="L24" s="66">
        <f t="shared" si="8"/>
        <v>12381002</v>
      </c>
      <c r="M24" s="67">
        <v>560019</v>
      </c>
      <c r="N24" s="62">
        <f t="shared" si="4"/>
        <v>22.11</v>
      </c>
      <c r="O24" s="96"/>
      <c r="P24" s="31"/>
      <c r="Q24" s="46"/>
    </row>
    <row r="25" spans="1:17" ht="13.9" x14ac:dyDescent="0.25">
      <c r="A25" s="24">
        <v>10</v>
      </c>
      <c r="C25" s="24" t="s">
        <v>143</v>
      </c>
      <c r="L25" s="46">
        <f>L24*M25/M24</f>
        <v>10365266</v>
      </c>
      <c r="M25" s="31">
        <v>468843</v>
      </c>
      <c r="N25" s="59">
        <f t="shared" si="4"/>
        <v>22.11</v>
      </c>
      <c r="O25" s="96"/>
      <c r="P25" s="31"/>
      <c r="Q25" s="46"/>
    </row>
    <row r="26" spans="1:17" ht="13.9" x14ac:dyDescent="0.25">
      <c r="A26" s="24">
        <v>11</v>
      </c>
      <c r="C26" s="24" t="s">
        <v>174</v>
      </c>
      <c r="D26" s="24" t="s">
        <v>48</v>
      </c>
      <c r="E26" s="46">
        <f>10545000-40044</f>
        <v>10504956</v>
      </c>
      <c r="F26" s="46">
        <v>6145500</v>
      </c>
      <c r="G26" s="45">
        <f t="shared" si="7"/>
        <v>16650456</v>
      </c>
      <c r="H26" s="46">
        <v>2912832</v>
      </c>
      <c r="I26" s="46">
        <v>3215213</v>
      </c>
      <c r="J26" s="46">
        <f>G26-H26</f>
        <v>13737624</v>
      </c>
      <c r="K26" s="53">
        <f>H26/J26</f>
        <v>0.21199999999999999</v>
      </c>
      <c r="L26" s="46">
        <f>I26*(1+K26)</f>
        <v>3896838</v>
      </c>
      <c r="M26" s="31">
        <v>159748</v>
      </c>
      <c r="N26" s="59">
        <f>L26/M26</f>
        <v>24.39</v>
      </c>
      <c r="O26" s="96"/>
      <c r="P26" s="31"/>
      <c r="Q26" s="46"/>
    </row>
    <row r="27" spans="1:17" ht="13.9" x14ac:dyDescent="0.25">
      <c r="A27" s="24">
        <v>12</v>
      </c>
      <c r="C27" s="24" t="s">
        <v>219</v>
      </c>
      <c r="D27" s="24" t="s">
        <v>214</v>
      </c>
      <c r="E27" s="46">
        <f>2213711-39287</f>
        <v>2174424</v>
      </c>
      <c r="F27" s="46">
        <v>1812021</v>
      </c>
      <c r="G27" s="45">
        <f t="shared" si="7"/>
        <v>3986445</v>
      </c>
      <c r="H27" s="46">
        <v>1267692</v>
      </c>
      <c r="I27" s="46">
        <v>513933</v>
      </c>
      <c r="J27" s="46">
        <f t="shared" si="5"/>
        <v>2718753</v>
      </c>
      <c r="K27" s="53">
        <f t="shared" si="2"/>
        <v>0.46629999999999999</v>
      </c>
      <c r="L27" s="46">
        <f t="shared" si="8"/>
        <v>753580</v>
      </c>
      <c r="M27" s="31">
        <v>33568</v>
      </c>
      <c r="N27" s="59">
        <f t="shared" si="4"/>
        <v>22.45</v>
      </c>
      <c r="O27" s="96"/>
      <c r="P27" s="96"/>
      <c r="Q27" s="96"/>
    </row>
    <row r="28" spans="1:17" ht="13.9" x14ac:dyDescent="0.25">
      <c r="A28" s="24">
        <v>13</v>
      </c>
      <c r="B28" s="24" t="s">
        <v>31</v>
      </c>
      <c r="C28" s="24" t="s">
        <v>4</v>
      </c>
      <c r="D28" s="24" t="s">
        <v>66</v>
      </c>
      <c r="E28" s="46">
        <f>1068220-47593</f>
        <v>1020627</v>
      </c>
      <c r="F28" s="46">
        <v>665648</v>
      </c>
      <c r="G28" s="45">
        <f t="shared" si="7"/>
        <v>1686275</v>
      </c>
      <c r="H28" s="46">
        <v>101724</v>
      </c>
      <c r="I28" s="46">
        <v>362640</v>
      </c>
      <c r="J28" s="46">
        <f t="shared" si="5"/>
        <v>1584551</v>
      </c>
      <c r="K28" s="53">
        <f t="shared" si="2"/>
        <v>6.4199999999999993E-2</v>
      </c>
      <c r="L28" s="46">
        <f t="shared" si="8"/>
        <v>385921</v>
      </c>
      <c r="M28" s="31">
        <v>43338</v>
      </c>
      <c r="N28" s="59">
        <f t="shared" si="4"/>
        <v>8.9</v>
      </c>
      <c r="O28" s="96"/>
      <c r="P28" s="31"/>
      <c r="Q28" s="46"/>
    </row>
    <row r="29" spans="1:17" ht="13.9" x14ac:dyDescent="0.25">
      <c r="A29" s="24">
        <f t="shared" ref="A29:A34" si="9">+A28+1</f>
        <v>14</v>
      </c>
      <c r="B29" s="24" t="s">
        <v>31</v>
      </c>
      <c r="C29" s="24" t="s">
        <v>5</v>
      </c>
      <c r="D29" s="24" t="s">
        <v>68</v>
      </c>
      <c r="E29" s="46">
        <f>902178-104148</f>
        <v>798030</v>
      </c>
      <c r="F29" s="46">
        <v>385077</v>
      </c>
      <c r="G29" s="45">
        <f t="shared" si="7"/>
        <v>1183107</v>
      </c>
      <c r="H29" s="46">
        <v>258380</v>
      </c>
      <c r="I29" s="46">
        <v>107777</v>
      </c>
      <c r="J29" s="46">
        <f t="shared" si="5"/>
        <v>924727</v>
      </c>
      <c r="K29" s="53">
        <f t="shared" si="2"/>
        <v>0.27939999999999998</v>
      </c>
      <c r="L29" s="46">
        <f t="shared" si="8"/>
        <v>137890</v>
      </c>
      <c r="M29" s="31">
        <v>13736</v>
      </c>
      <c r="N29" s="59">
        <f t="shared" si="4"/>
        <v>10.039999999999999</v>
      </c>
      <c r="O29" s="96"/>
      <c r="P29" s="31"/>
      <c r="Q29" s="46"/>
    </row>
    <row r="30" spans="1:17" ht="13.9" x14ac:dyDescent="0.25">
      <c r="A30" s="24">
        <f t="shared" si="9"/>
        <v>15</v>
      </c>
      <c r="B30" s="24" t="s">
        <v>31</v>
      </c>
      <c r="C30" s="24" t="s">
        <v>6</v>
      </c>
      <c r="D30" s="24" t="s">
        <v>70</v>
      </c>
      <c r="E30" s="46">
        <f>415168-38808</f>
        <v>376360</v>
      </c>
      <c r="F30" s="46">
        <v>212320</v>
      </c>
      <c r="G30" s="45">
        <f t="shared" si="7"/>
        <v>588680</v>
      </c>
      <c r="H30" s="46">
        <v>51686</v>
      </c>
      <c r="I30" s="46">
        <v>128400</v>
      </c>
      <c r="J30" s="46">
        <f t="shared" si="5"/>
        <v>536994</v>
      </c>
      <c r="K30" s="53">
        <f t="shared" si="2"/>
        <v>9.6299999999999997E-2</v>
      </c>
      <c r="L30" s="46">
        <f t="shared" si="8"/>
        <v>140765</v>
      </c>
      <c r="M30" s="31">
        <v>6646</v>
      </c>
      <c r="N30" s="59">
        <f t="shared" si="4"/>
        <v>21.18</v>
      </c>
      <c r="O30" s="96"/>
      <c r="P30" s="31"/>
      <c r="Q30" s="46"/>
    </row>
    <row r="31" spans="1:17" ht="13.9" x14ac:dyDescent="0.25">
      <c r="A31" s="24">
        <f t="shared" si="9"/>
        <v>16</v>
      </c>
      <c r="B31" s="24" t="s">
        <v>31</v>
      </c>
      <c r="C31" s="24" t="s">
        <v>7</v>
      </c>
      <c r="D31" s="24" t="s">
        <v>71</v>
      </c>
      <c r="E31" s="46">
        <f>5249581-70852</f>
        <v>5178729</v>
      </c>
      <c r="F31" s="46">
        <v>2580662</v>
      </c>
      <c r="G31" s="45">
        <f t="shared" si="7"/>
        <v>7759391</v>
      </c>
      <c r="H31" s="46">
        <v>685520</v>
      </c>
      <c r="I31" s="46">
        <v>1032592</v>
      </c>
      <c r="J31" s="46">
        <f t="shared" si="5"/>
        <v>7073871</v>
      </c>
      <c r="K31" s="53">
        <f t="shared" si="2"/>
        <v>9.69E-2</v>
      </c>
      <c r="L31" s="46">
        <f t="shared" si="8"/>
        <v>1132650</v>
      </c>
      <c r="M31" s="31">
        <v>63027</v>
      </c>
      <c r="N31" s="59">
        <f t="shared" si="4"/>
        <v>17.97</v>
      </c>
      <c r="O31" s="96"/>
      <c r="P31" s="31"/>
      <c r="Q31" s="46"/>
    </row>
    <row r="32" spans="1:17" ht="13.9" x14ac:dyDescent="0.25">
      <c r="A32" s="24">
        <f t="shared" si="9"/>
        <v>17</v>
      </c>
      <c r="B32" s="24" t="s">
        <v>31</v>
      </c>
      <c r="C32" s="24" t="s">
        <v>173</v>
      </c>
      <c r="D32" s="24" t="s">
        <v>72</v>
      </c>
      <c r="E32" s="46">
        <f>6630691-5724</f>
        <v>6624967</v>
      </c>
      <c r="F32" s="46">
        <v>1146419</v>
      </c>
      <c r="G32" s="45">
        <f t="shared" si="7"/>
        <v>7771386</v>
      </c>
      <c r="H32" s="46">
        <v>263184</v>
      </c>
      <c r="I32" s="46">
        <v>500066</v>
      </c>
      <c r="J32" s="46">
        <f t="shared" si="5"/>
        <v>7508202</v>
      </c>
      <c r="K32" s="53">
        <f t="shared" si="2"/>
        <v>3.5099999999999999E-2</v>
      </c>
      <c r="L32" s="46">
        <f t="shared" si="8"/>
        <v>517618</v>
      </c>
      <c r="M32" s="31">
        <v>86388</v>
      </c>
      <c r="N32" s="59">
        <f t="shared" si="4"/>
        <v>5.99</v>
      </c>
      <c r="O32" s="96"/>
      <c r="P32" s="31"/>
      <c r="Q32" s="46"/>
    </row>
    <row r="33" spans="1:17" ht="13.9" x14ac:dyDescent="0.25">
      <c r="A33" s="24">
        <f t="shared" si="9"/>
        <v>18</v>
      </c>
      <c r="B33" s="24" t="s">
        <v>31</v>
      </c>
      <c r="C33" s="24" t="s">
        <v>8</v>
      </c>
      <c r="D33" s="24" t="s">
        <v>73</v>
      </c>
      <c r="E33" s="46">
        <f>10313638-129118</f>
        <v>10184520</v>
      </c>
      <c r="F33" s="46">
        <v>5429520</v>
      </c>
      <c r="G33" s="45">
        <f t="shared" si="7"/>
        <v>15614040</v>
      </c>
      <c r="H33" s="46">
        <v>2735722</v>
      </c>
      <c r="I33" s="46">
        <v>1894169</v>
      </c>
      <c r="J33" s="46">
        <f t="shared" si="5"/>
        <v>12878318</v>
      </c>
      <c r="K33" s="53">
        <f t="shared" si="2"/>
        <v>0.21240000000000001</v>
      </c>
      <c r="L33" s="46">
        <f t="shared" si="8"/>
        <v>2296490</v>
      </c>
      <c r="M33" s="31">
        <v>140231</v>
      </c>
      <c r="N33" s="59">
        <f t="shared" si="4"/>
        <v>16.38</v>
      </c>
      <c r="O33" s="96"/>
      <c r="P33" s="31"/>
      <c r="Q33" s="46"/>
    </row>
    <row r="34" spans="1:17" ht="13.9" x14ac:dyDescent="0.25">
      <c r="A34" s="24">
        <f t="shared" si="9"/>
        <v>19</v>
      </c>
      <c r="B34" s="24" t="s">
        <v>31</v>
      </c>
      <c r="C34" s="24" t="s">
        <v>9</v>
      </c>
      <c r="D34" s="24" t="s">
        <v>74</v>
      </c>
      <c r="E34" s="46">
        <f>4339148-80400</f>
        <v>4258748</v>
      </c>
      <c r="F34" s="46">
        <v>2884697</v>
      </c>
      <c r="G34" s="45">
        <f t="shared" si="7"/>
        <v>7143445</v>
      </c>
      <c r="H34" s="46">
        <v>750828</v>
      </c>
      <c r="I34" s="46">
        <v>2044696</v>
      </c>
      <c r="J34" s="46">
        <f t="shared" si="5"/>
        <v>6392617</v>
      </c>
      <c r="K34" s="53">
        <f t="shared" si="2"/>
        <v>0.11749999999999999</v>
      </c>
      <c r="L34" s="63">
        <f t="shared" si="8"/>
        <v>2284948</v>
      </c>
      <c r="M34" s="42">
        <v>136222</v>
      </c>
      <c r="N34" s="64">
        <f t="shared" si="4"/>
        <v>16.77</v>
      </c>
      <c r="O34" s="96"/>
      <c r="P34" s="31"/>
      <c r="Q34" s="46"/>
    </row>
    <row r="35" spans="1:17" ht="13.9" x14ac:dyDescent="0.25">
      <c r="C35" s="24" t="s">
        <v>168</v>
      </c>
      <c r="L35" s="46">
        <f>SUM(L13:L34)-(L17+L24)</f>
        <v>52066648</v>
      </c>
      <c r="M35" s="31">
        <f>SUM(M13:M34)-(M17+M24)</f>
        <v>2970604</v>
      </c>
      <c r="N35" s="65">
        <f>L35/M35</f>
        <v>17.53</v>
      </c>
      <c r="P35" s="31"/>
    </row>
    <row r="36" spans="1:17" ht="13.9" x14ac:dyDescent="0.25">
      <c r="N36" s="65"/>
    </row>
    <row r="37" spans="1:17" ht="13.9" x14ac:dyDescent="0.25">
      <c r="C37" s="52" t="s">
        <v>230</v>
      </c>
      <c r="D37" s="52"/>
      <c r="E37" s="52"/>
      <c r="F37" s="52"/>
      <c r="G37" s="52"/>
      <c r="H37" s="52"/>
      <c r="I37" s="52"/>
      <c r="J37" s="39"/>
      <c r="M37" s="99"/>
      <c r="N37" s="59"/>
    </row>
    <row r="38" spans="1:17" ht="15" customHeight="1" x14ac:dyDescent="0.25">
      <c r="C38" s="98" t="s">
        <v>218</v>
      </c>
      <c r="D38" s="98"/>
      <c r="J38" s="45"/>
      <c r="M38" s="53"/>
      <c r="N38" s="59"/>
    </row>
    <row r="39" spans="1:17" ht="13.9" x14ac:dyDescent="0.25">
      <c r="C39" s="46"/>
      <c r="D39" s="46"/>
      <c r="J39" s="45"/>
      <c r="M39" s="53"/>
      <c r="N39" s="59"/>
    </row>
  </sheetData>
  <pageMargins left="0.2" right="0.2" top="0.75" bottom="0.75" header="0.3" footer="0.3"/>
  <pageSetup scale="77" orientation="portrait" verticalDpi="598" r:id="rId1"/>
  <ignoredErrors>
    <ignoredError sqref="L18 L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4"/>
  <sheetViews>
    <sheetView showGridLines="0" topLeftCell="A54" zoomScale="70" zoomScaleNormal="70" workbookViewId="0">
      <selection activeCell="B72" sqref="B72"/>
    </sheetView>
  </sheetViews>
  <sheetFormatPr defaultColWidth="9.140625" defaultRowHeight="14.25" x14ac:dyDescent="0.2"/>
  <cols>
    <col min="1" max="1" width="3.85546875" style="1" customWidth="1"/>
    <col min="2" max="2" width="28.5703125" style="1" bestFit="1" customWidth="1"/>
    <col min="3" max="4" width="5.5703125" style="2" bestFit="1" customWidth="1"/>
    <col min="5" max="5" width="10.7109375" style="3" bestFit="1" customWidth="1"/>
    <col min="6" max="6" width="9.140625" style="4"/>
    <col min="7" max="7" width="11.140625" style="3" bestFit="1" customWidth="1"/>
    <col min="8" max="8" width="3.85546875" style="1" customWidth="1"/>
    <col min="9" max="9" width="36.28515625" style="1" bestFit="1" customWidth="1"/>
    <col min="10" max="10" width="5.7109375" style="1" bestFit="1" customWidth="1"/>
    <col min="11" max="11" width="5" style="1" bestFit="1" customWidth="1"/>
    <col min="12" max="12" width="9.7109375" style="1" bestFit="1" customWidth="1"/>
    <col min="13" max="13" width="5.7109375" style="1" bestFit="1" customWidth="1"/>
    <col min="14" max="14" width="11.140625" style="1" customWidth="1"/>
    <col min="15" max="16384" width="9.140625" style="1"/>
  </cols>
  <sheetData>
    <row r="1" spans="1:14" ht="15" x14ac:dyDescent="0.25">
      <c r="M1" s="31"/>
      <c r="N1" s="45"/>
    </row>
    <row r="2" spans="1:14" ht="15" x14ac:dyDescent="0.25">
      <c r="M2" s="31"/>
      <c r="N2" s="25" t="s">
        <v>38</v>
      </c>
    </row>
    <row r="3" spans="1:14" ht="15" x14ac:dyDescent="0.25">
      <c r="M3" s="31"/>
      <c r="N3" s="25" t="s">
        <v>232</v>
      </c>
    </row>
    <row r="4" spans="1:14" ht="15" x14ac:dyDescent="0.25">
      <c r="A4" s="100" t="s">
        <v>213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2">
      <c r="C5" s="1"/>
      <c r="D5" s="1"/>
      <c r="E5" s="5"/>
      <c r="F5" s="6"/>
      <c r="G5" s="5"/>
    </row>
    <row r="6" spans="1:14" s="9" customFormat="1" ht="15" x14ac:dyDescent="0.25">
      <c r="B6" s="20" t="s">
        <v>16</v>
      </c>
      <c r="C6" s="21" t="s">
        <v>39</v>
      </c>
      <c r="D6" s="21" t="s">
        <v>40</v>
      </c>
      <c r="E6" s="22" t="s">
        <v>41</v>
      </c>
      <c r="F6" s="23" t="s">
        <v>42</v>
      </c>
      <c r="G6" s="22" t="s">
        <v>43</v>
      </c>
      <c r="I6" s="20" t="s">
        <v>16</v>
      </c>
      <c r="J6" s="21" t="s">
        <v>39</v>
      </c>
      <c r="K6" s="21" t="s">
        <v>40</v>
      </c>
      <c r="L6" s="22" t="s">
        <v>41</v>
      </c>
      <c r="M6" s="23" t="s">
        <v>42</v>
      </c>
      <c r="N6" s="22" t="s">
        <v>43</v>
      </c>
    </row>
    <row r="7" spans="1:14" s="9" customFormat="1" ht="15" x14ac:dyDescent="0.25">
      <c r="B7" s="24" t="s">
        <v>44</v>
      </c>
      <c r="C7" s="25" t="s">
        <v>45</v>
      </c>
      <c r="D7" s="25">
        <v>31</v>
      </c>
      <c r="E7" s="26">
        <v>10</v>
      </c>
      <c r="F7" s="27">
        <v>3</v>
      </c>
      <c r="G7" s="35">
        <f>E7*F7</f>
        <v>30</v>
      </c>
      <c r="H7" s="1"/>
      <c r="I7" s="24" t="s">
        <v>59</v>
      </c>
      <c r="J7" s="25" t="s">
        <v>60</v>
      </c>
      <c r="K7" s="25">
        <v>33</v>
      </c>
      <c r="L7" s="26">
        <v>141</v>
      </c>
      <c r="M7" s="27">
        <v>3.3</v>
      </c>
      <c r="N7" s="26">
        <f>L7*M7</f>
        <v>465</v>
      </c>
    </row>
    <row r="8" spans="1:14" s="9" customFormat="1" ht="15" x14ac:dyDescent="0.25">
      <c r="B8" s="20"/>
      <c r="C8" s="21"/>
      <c r="D8" s="25">
        <v>35</v>
      </c>
      <c r="E8" s="26">
        <v>778</v>
      </c>
      <c r="F8" s="27">
        <v>3.7</v>
      </c>
      <c r="G8" s="35">
        <f>E8*F8</f>
        <v>2879</v>
      </c>
      <c r="H8" s="1"/>
      <c r="I8" s="24"/>
      <c r="J8" s="25"/>
      <c r="K8" s="25">
        <v>40</v>
      </c>
      <c r="L8" s="22">
        <v>8919</v>
      </c>
      <c r="M8" s="27">
        <v>5.0999999999999996</v>
      </c>
      <c r="N8" s="22">
        <f>L8*M8</f>
        <v>45487</v>
      </c>
    </row>
    <row r="9" spans="1:14" s="9" customFormat="1" ht="15" x14ac:dyDescent="0.25">
      <c r="B9" s="20"/>
      <c r="C9" s="21"/>
      <c r="D9" s="25">
        <v>80</v>
      </c>
      <c r="E9" s="26">
        <v>38</v>
      </c>
      <c r="F9" s="27">
        <v>1.8</v>
      </c>
      <c r="G9" s="35">
        <f>E9*F9</f>
        <v>68</v>
      </c>
      <c r="H9" s="1"/>
      <c r="I9" s="1" t="s">
        <v>158</v>
      </c>
      <c r="J9" s="2"/>
      <c r="K9" s="2"/>
      <c r="L9" s="3">
        <f>SUM(L7:L8)</f>
        <v>9060</v>
      </c>
      <c r="M9" s="4"/>
      <c r="N9" s="3">
        <f>SUM(N7:N8)</f>
        <v>45952</v>
      </c>
    </row>
    <row r="10" spans="1:14" s="9" customFormat="1" ht="15" x14ac:dyDescent="0.25">
      <c r="B10" s="20"/>
      <c r="C10" s="21"/>
      <c r="D10" s="25">
        <v>194</v>
      </c>
      <c r="E10" s="22">
        <v>194</v>
      </c>
      <c r="F10" s="27">
        <v>7.4</v>
      </c>
      <c r="G10" s="22">
        <f>E10*F10</f>
        <v>1436</v>
      </c>
      <c r="H10" s="1"/>
      <c r="I10" s="24"/>
      <c r="J10" s="24"/>
      <c r="K10" s="24"/>
      <c r="L10" s="31"/>
      <c r="M10" s="32"/>
      <c r="N10" s="31"/>
    </row>
    <row r="11" spans="1:14" s="9" customFormat="1" ht="15" x14ac:dyDescent="0.25">
      <c r="B11" s="1" t="s">
        <v>148</v>
      </c>
      <c r="C11" s="10"/>
      <c r="D11" s="10"/>
      <c r="E11" s="3">
        <f>SUM(E7:E10)</f>
        <v>1020</v>
      </c>
      <c r="F11" s="4"/>
      <c r="G11" s="3">
        <f>SUM(G7:G10)</f>
        <v>4413</v>
      </c>
      <c r="H11" s="1"/>
      <c r="I11" s="24" t="s">
        <v>144</v>
      </c>
      <c r="J11" s="25" t="s">
        <v>61</v>
      </c>
      <c r="K11" s="25">
        <v>456</v>
      </c>
      <c r="L11" s="26">
        <v>14242</v>
      </c>
      <c r="M11" s="24">
        <v>29</v>
      </c>
      <c r="N11" s="26">
        <f t="shared" ref="N11:N12" si="0">L11*M11</f>
        <v>413018</v>
      </c>
    </row>
    <row r="12" spans="1:14" s="9" customFormat="1" ht="15" x14ac:dyDescent="0.25">
      <c r="C12" s="10"/>
      <c r="D12" s="10"/>
      <c r="E12" s="11"/>
      <c r="F12" s="12"/>
      <c r="G12" s="11"/>
      <c r="H12" s="1"/>
      <c r="I12" s="24"/>
      <c r="J12" s="25"/>
      <c r="K12" s="25">
        <v>459</v>
      </c>
      <c r="L12" s="22">
        <v>1925</v>
      </c>
      <c r="M12" s="24">
        <v>29</v>
      </c>
      <c r="N12" s="22">
        <f t="shared" si="0"/>
        <v>55825</v>
      </c>
    </row>
    <row r="13" spans="1:14" ht="15" x14ac:dyDescent="0.25">
      <c r="B13" s="47" t="s">
        <v>149</v>
      </c>
      <c r="C13" s="34" t="s">
        <v>46</v>
      </c>
      <c r="D13" s="34">
        <v>35</v>
      </c>
      <c r="E13" s="35">
        <v>1102</v>
      </c>
      <c r="F13" s="36">
        <v>3.7</v>
      </c>
      <c r="G13" s="35">
        <f>E13*F13</f>
        <v>4077</v>
      </c>
      <c r="I13" s="24" t="s">
        <v>146</v>
      </c>
      <c r="J13" s="25"/>
      <c r="K13" s="25"/>
      <c r="L13" s="26">
        <f>SUM(L11:L12)</f>
        <v>16167</v>
      </c>
      <c r="M13" s="27"/>
      <c r="N13" s="26">
        <f>SUM(N11:N12)</f>
        <v>468843</v>
      </c>
    </row>
    <row r="14" spans="1:14" ht="15" x14ac:dyDescent="0.25">
      <c r="B14" s="47"/>
      <c r="C14" s="34"/>
      <c r="D14" s="34">
        <v>40</v>
      </c>
      <c r="E14" s="35">
        <v>40</v>
      </c>
      <c r="F14" s="36">
        <v>5.0999999999999996</v>
      </c>
      <c r="G14" s="35">
        <f t="shared" ref="G14:G17" si="1">E14*F14</f>
        <v>204</v>
      </c>
      <c r="I14" s="24" t="s">
        <v>147</v>
      </c>
      <c r="J14" s="25"/>
      <c r="K14" s="25">
        <v>456</v>
      </c>
      <c r="L14" s="22">
        <v>3144</v>
      </c>
      <c r="M14" s="23">
        <v>29</v>
      </c>
      <c r="N14" s="22">
        <f>L14*M14</f>
        <v>91176</v>
      </c>
    </row>
    <row r="15" spans="1:14" ht="15" x14ac:dyDescent="0.25">
      <c r="B15" s="47"/>
      <c r="C15" s="34"/>
      <c r="D15" s="34">
        <v>79</v>
      </c>
      <c r="E15" s="35">
        <v>396</v>
      </c>
      <c r="F15" s="36">
        <v>3.6</v>
      </c>
      <c r="G15" s="35">
        <f t="shared" si="1"/>
        <v>1426</v>
      </c>
      <c r="I15" s="1" t="s">
        <v>145</v>
      </c>
      <c r="J15" s="2"/>
      <c r="K15" s="2"/>
      <c r="L15" s="3">
        <f>L13+L14</f>
        <v>19311</v>
      </c>
      <c r="M15" s="4"/>
      <c r="N15" s="3">
        <f>N13+N14</f>
        <v>560019</v>
      </c>
    </row>
    <row r="16" spans="1:14" ht="15" x14ac:dyDescent="0.25">
      <c r="B16" s="47"/>
      <c r="C16" s="34"/>
      <c r="D16" s="34">
        <v>194</v>
      </c>
      <c r="E16" s="35">
        <v>77</v>
      </c>
      <c r="F16" s="36">
        <v>7.4</v>
      </c>
      <c r="G16" s="35">
        <f t="shared" si="1"/>
        <v>570</v>
      </c>
      <c r="I16" s="24"/>
      <c r="J16" s="25"/>
      <c r="K16" s="25"/>
      <c r="L16" s="26"/>
      <c r="M16" s="27"/>
      <c r="N16" s="26"/>
    </row>
    <row r="17" spans="2:14" ht="15" x14ac:dyDescent="0.25">
      <c r="B17" s="47"/>
      <c r="C17" s="34"/>
      <c r="D17" s="34">
        <v>415</v>
      </c>
      <c r="E17" s="35">
        <v>281</v>
      </c>
      <c r="F17" s="36">
        <v>9.1</v>
      </c>
      <c r="G17" s="35">
        <f t="shared" si="1"/>
        <v>2557</v>
      </c>
      <c r="H17" s="24"/>
      <c r="I17" s="24"/>
      <c r="J17" s="25"/>
      <c r="K17" s="25"/>
      <c r="L17" s="26"/>
      <c r="M17" s="27"/>
      <c r="N17" s="26"/>
    </row>
    <row r="18" spans="2:14" ht="15" x14ac:dyDescent="0.25">
      <c r="B18" s="47"/>
      <c r="C18" s="34"/>
      <c r="D18" s="34">
        <v>416</v>
      </c>
      <c r="E18" s="37">
        <v>60</v>
      </c>
      <c r="F18" s="36">
        <v>8.9</v>
      </c>
      <c r="G18" s="22">
        <f>E18*F18</f>
        <v>534</v>
      </c>
      <c r="H18" s="24"/>
      <c r="I18" s="24" t="s">
        <v>171</v>
      </c>
      <c r="J18" s="25" t="s">
        <v>48</v>
      </c>
      <c r="K18" s="25">
        <v>35</v>
      </c>
      <c r="L18" s="26">
        <v>5517</v>
      </c>
      <c r="M18" s="27">
        <v>3.7</v>
      </c>
      <c r="N18" s="26">
        <f>L18*M18</f>
        <v>20413</v>
      </c>
    </row>
    <row r="19" spans="2:14" ht="15" x14ac:dyDescent="0.25">
      <c r="B19" s="7" t="s">
        <v>150</v>
      </c>
      <c r="C19" s="17"/>
      <c r="D19" s="17"/>
      <c r="E19" s="70">
        <f>SUM(E13:E18)</f>
        <v>1956</v>
      </c>
      <c r="F19" s="71"/>
      <c r="G19" s="70">
        <f>SUM(G13:G18)</f>
        <v>9368</v>
      </c>
      <c r="H19" s="24"/>
      <c r="I19" s="24"/>
      <c r="J19" s="25"/>
      <c r="K19" s="25">
        <v>412</v>
      </c>
      <c r="L19" s="26">
        <v>7405</v>
      </c>
      <c r="M19" s="27">
        <v>17</v>
      </c>
      <c r="N19" s="26">
        <f>L19*M19</f>
        <v>125885</v>
      </c>
    </row>
    <row r="20" spans="2:14" ht="15" x14ac:dyDescent="0.25">
      <c r="B20" s="47"/>
      <c r="C20" s="34"/>
      <c r="D20" s="34"/>
      <c r="E20" s="35"/>
      <c r="F20" s="36"/>
      <c r="G20" s="35"/>
      <c r="H20" s="24"/>
      <c r="I20" s="24"/>
      <c r="J20" s="25"/>
      <c r="K20" s="25">
        <v>416</v>
      </c>
      <c r="L20" s="26">
        <v>1163</v>
      </c>
      <c r="M20" s="27">
        <v>8.9</v>
      </c>
      <c r="N20" s="26">
        <f>L20*M20</f>
        <v>10351</v>
      </c>
    </row>
    <row r="21" spans="2:14" ht="15" x14ac:dyDescent="0.25">
      <c r="B21" s="47" t="s">
        <v>151</v>
      </c>
      <c r="C21" s="34" t="s">
        <v>47</v>
      </c>
      <c r="D21" s="34">
        <v>35</v>
      </c>
      <c r="E21" s="35">
        <v>6341</v>
      </c>
      <c r="F21" s="36">
        <v>3.7</v>
      </c>
      <c r="G21" s="35">
        <f t="shared" ref="G21:G26" si="2">E21*F21</f>
        <v>23462</v>
      </c>
      <c r="I21" s="24"/>
      <c r="J21" s="25"/>
      <c r="K21" s="25">
        <v>479</v>
      </c>
      <c r="L21" s="22">
        <v>313</v>
      </c>
      <c r="M21" s="27">
        <v>9.9</v>
      </c>
      <c r="N21" s="22">
        <f>L21*M21</f>
        <v>3099</v>
      </c>
    </row>
    <row r="22" spans="2:14" ht="15" x14ac:dyDescent="0.25">
      <c r="B22" s="47"/>
      <c r="C22" s="34"/>
      <c r="D22" s="34">
        <v>40</v>
      </c>
      <c r="E22" s="35">
        <v>3860</v>
      </c>
      <c r="F22" s="36">
        <v>5.0999999999999996</v>
      </c>
      <c r="G22" s="35">
        <f t="shared" si="2"/>
        <v>19686</v>
      </c>
      <c r="I22" s="1" t="s">
        <v>172</v>
      </c>
      <c r="J22" s="2"/>
      <c r="K22" s="2"/>
      <c r="L22" s="3">
        <f>SUM(L18:L21)</f>
        <v>14398</v>
      </c>
      <c r="M22" s="4"/>
      <c r="N22" s="3">
        <f>SUM(N18:N21)</f>
        <v>159748</v>
      </c>
    </row>
    <row r="23" spans="2:14" ht="15" x14ac:dyDescent="0.25">
      <c r="B23" s="47"/>
      <c r="C23" s="34"/>
      <c r="D23" s="34">
        <v>79</v>
      </c>
      <c r="E23" s="35">
        <v>1805</v>
      </c>
      <c r="F23" s="36">
        <v>3.6</v>
      </c>
      <c r="G23" s="35">
        <f t="shared" si="2"/>
        <v>6498</v>
      </c>
      <c r="I23" s="24"/>
      <c r="J23" s="25"/>
      <c r="K23" s="25"/>
      <c r="L23" s="26"/>
      <c r="M23" s="27"/>
      <c r="N23" s="26"/>
    </row>
    <row r="24" spans="2:14" ht="15" x14ac:dyDescent="0.25">
      <c r="B24" s="47"/>
      <c r="C24" s="34"/>
      <c r="D24" s="34">
        <v>194</v>
      </c>
      <c r="E24" s="35">
        <v>1645</v>
      </c>
      <c r="F24" s="36">
        <v>7.4</v>
      </c>
      <c r="G24" s="35">
        <f t="shared" si="2"/>
        <v>12173</v>
      </c>
      <c r="I24" s="24"/>
      <c r="J24" s="25"/>
      <c r="K24" s="25"/>
      <c r="L24" s="26"/>
      <c r="M24" s="27"/>
      <c r="N24" s="26"/>
    </row>
    <row r="25" spans="2:14" ht="15" x14ac:dyDescent="0.25">
      <c r="B25" s="47"/>
      <c r="C25" s="34"/>
      <c r="D25" s="34">
        <v>415</v>
      </c>
      <c r="E25" s="35">
        <v>4627</v>
      </c>
      <c r="F25" s="36">
        <v>9.1</v>
      </c>
      <c r="G25" s="35">
        <f t="shared" si="2"/>
        <v>42106</v>
      </c>
      <c r="I25" s="1" t="s">
        <v>212</v>
      </c>
      <c r="J25" s="25" t="s">
        <v>214</v>
      </c>
      <c r="K25" s="25">
        <v>35</v>
      </c>
      <c r="L25" s="26">
        <v>2</v>
      </c>
      <c r="M25" s="27">
        <v>3.7</v>
      </c>
      <c r="N25" s="26">
        <f t="shared" ref="N25:N26" si="3">L25*M25</f>
        <v>7</v>
      </c>
    </row>
    <row r="26" spans="2:14" ht="15" x14ac:dyDescent="0.25">
      <c r="B26" s="47"/>
      <c r="C26" s="34"/>
      <c r="D26" s="34">
        <v>416</v>
      </c>
      <c r="E26" s="37">
        <v>1993</v>
      </c>
      <c r="F26" s="36">
        <v>9.1</v>
      </c>
      <c r="G26" s="22">
        <f t="shared" si="2"/>
        <v>18136</v>
      </c>
      <c r="I26" s="24"/>
      <c r="J26" s="25"/>
      <c r="K26" s="25">
        <v>415</v>
      </c>
      <c r="L26" s="26">
        <v>3688</v>
      </c>
      <c r="M26" s="27">
        <v>9.1</v>
      </c>
      <c r="N26" s="22">
        <f t="shared" si="3"/>
        <v>33561</v>
      </c>
    </row>
    <row r="27" spans="2:14" ht="15" x14ac:dyDescent="0.25">
      <c r="B27" s="7" t="s">
        <v>152</v>
      </c>
      <c r="C27" s="17"/>
      <c r="D27" s="17"/>
      <c r="E27" s="70">
        <f>SUM(E21:E26)</f>
        <v>20271</v>
      </c>
      <c r="F27" s="71"/>
      <c r="G27" s="70">
        <f>SUM(G21:G26)</f>
        <v>122061</v>
      </c>
      <c r="I27" s="24"/>
      <c r="J27" s="25"/>
      <c r="K27" s="25"/>
      <c r="L27" s="26"/>
      <c r="M27" s="27"/>
      <c r="N27" s="13">
        <f>SUM(N25:N26)</f>
        <v>33568</v>
      </c>
    </row>
    <row r="28" spans="2:14" ht="15" x14ac:dyDescent="0.25">
      <c r="B28" s="47"/>
      <c r="C28" s="34"/>
      <c r="D28" s="34"/>
      <c r="E28" s="35"/>
      <c r="F28" s="36"/>
      <c r="G28" s="35"/>
      <c r="I28" s="24"/>
      <c r="J28" s="25"/>
      <c r="K28" s="25"/>
      <c r="L28" s="26"/>
      <c r="M28" s="27"/>
      <c r="N28" s="26"/>
    </row>
    <row r="29" spans="2:14" ht="15" x14ac:dyDescent="0.25">
      <c r="B29" s="24" t="s">
        <v>49</v>
      </c>
      <c r="C29" s="25" t="s">
        <v>50</v>
      </c>
      <c r="D29" s="25">
        <v>35</v>
      </c>
      <c r="E29" s="26">
        <v>0</v>
      </c>
      <c r="F29" s="27">
        <v>3.7</v>
      </c>
      <c r="G29" s="26">
        <f t="shared" ref="G29:G36" si="4">E29*F29</f>
        <v>0</v>
      </c>
      <c r="J29" s="2"/>
      <c r="K29" s="2"/>
      <c r="L29" s="3"/>
      <c r="M29" s="4"/>
      <c r="N29" s="3"/>
    </row>
    <row r="30" spans="2:14" ht="15" x14ac:dyDescent="0.25">
      <c r="B30" s="24"/>
      <c r="C30" s="25"/>
      <c r="D30" s="25">
        <v>194</v>
      </c>
      <c r="E30" s="26">
        <v>4358</v>
      </c>
      <c r="F30" s="27">
        <v>7.4</v>
      </c>
      <c r="G30" s="26">
        <f t="shared" si="4"/>
        <v>32249</v>
      </c>
      <c r="I30" s="1" t="s">
        <v>163</v>
      </c>
      <c r="J30" s="2" t="s">
        <v>66</v>
      </c>
      <c r="K30" s="2">
        <v>35</v>
      </c>
      <c r="L30" s="3">
        <v>11713</v>
      </c>
      <c r="M30" s="4">
        <v>3.7</v>
      </c>
      <c r="N30" s="3">
        <f>L30*M30</f>
        <v>43338</v>
      </c>
    </row>
    <row r="31" spans="2:14" ht="15" x14ac:dyDescent="0.25">
      <c r="B31" s="24"/>
      <c r="C31" s="25"/>
      <c r="D31" s="25">
        <v>355</v>
      </c>
      <c r="E31" s="26">
        <v>103</v>
      </c>
      <c r="F31" s="27">
        <v>3</v>
      </c>
      <c r="G31" s="26">
        <f t="shared" si="4"/>
        <v>309</v>
      </c>
      <c r="I31" s="24"/>
      <c r="J31" s="25"/>
      <c r="K31" s="25"/>
      <c r="L31" s="26"/>
      <c r="M31" s="27"/>
      <c r="N31" s="26"/>
    </row>
    <row r="32" spans="2:14" ht="15" x14ac:dyDescent="0.25">
      <c r="B32" s="24"/>
      <c r="C32" s="25"/>
      <c r="D32" s="25">
        <v>360</v>
      </c>
      <c r="E32" s="26">
        <v>185</v>
      </c>
      <c r="F32" s="27">
        <v>2.4</v>
      </c>
      <c r="G32" s="26">
        <f t="shared" si="4"/>
        <v>444</v>
      </c>
      <c r="I32" s="24" t="s">
        <v>67</v>
      </c>
      <c r="J32" s="25" t="s">
        <v>68</v>
      </c>
      <c r="K32" s="25">
        <v>35</v>
      </c>
      <c r="L32" s="26">
        <v>3610</v>
      </c>
      <c r="M32" s="27">
        <v>3.7</v>
      </c>
      <c r="N32" s="26">
        <f>L32*M32</f>
        <v>13357</v>
      </c>
    </row>
    <row r="33" spans="2:14" ht="15" x14ac:dyDescent="0.25">
      <c r="B33" s="24"/>
      <c r="C33" s="25"/>
      <c r="D33" s="25">
        <v>405</v>
      </c>
      <c r="E33" s="26">
        <v>2049</v>
      </c>
      <c r="F33" s="27">
        <v>16.8</v>
      </c>
      <c r="G33" s="26">
        <f t="shared" si="4"/>
        <v>34423</v>
      </c>
      <c r="I33" s="24"/>
      <c r="J33" s="25" t="s">
        <v>68</v>
      </c>
      <c r="K33" s="25">
        <v>36</v>
      </c>
      <c r="L33" s="22">
        <v>158</v>
      </c>
      <c r="M33" s="27">
        <v>2.4</v>
      </c>
      <c r="N33" s="22">
        <f>L33*M33</f>
        <v>379</v>
      </c>
    </row>
    <row r="34" spans="2:14" ht="15" x14ac:dyDescent="0.25">
      <c r="B34" s="24"/>
      <c r="C34" s="25"/>
      <c r="D34" s="25">
        <v>406</v>
      </c>
      <c r="E34" s="26">
        <v>2288</v>
      </c>
      <c r="F34" s="27">
        <v>12.5</v>
      </c>
      <c r="G34" s="26">
        <f t="shared" si="4"/>
        <v>28600</v>
      </c>
      <c r="I34" s="1" t="s">
        <v>164</v>
      </c>
      <c r="J34" s="2"/>
      <c r="K34" s="2"/>
      <c r="L34" s="3">
        <f>SUM(L32:L33)</f>
        <v>3768</v>
      </c>
      <c r="M34" s="4"/>
      <c r="N34" s="3">
        <f>SUM(N32:N33)</f>
        <v>13736</v>
      </c>
    </row>
    <row r="35" spans="2:14" ht="15" x14ac:dyDescent="0.25">
      <c r="B35" s="24"/>
      <c r="C35" s="25"/>
      <c r="D35" s="25">
        <v>412</v>
      </c>
      <c r="E35" s="26">
        <v>620</v>
      </c>
      <c r="F35" s="27">
        <v>17</v>
      </c>
      <c r="G35" s="26">
        <f t="shared" si="4"/>
        <v>10540</v>
      </c>
      <c r="J35" s="2"/>
      <c r="K35" s="2"/>
      <c r="L35" s="3"/>
      <c r="M35" s="4"/>
      <c r="N35" s="3"/>
    </row>
    <row r="36" spans="2:14" ht="15" x14ac:dyDescent="0.25">
      <c r="B36" s="24"/>
      <c r="C36" s="25"/>
      <c r="D36" s="25">
        <v>416</v>
      </c>
      <c r="E36" s="22">
        <v>20231</v>
      </c>
      <c r="F36" s="27">
        <v>8.9</v>
      </c>
      <c r="G36" s="22">
        <f t="shared" si="4"/>
        <v>180056</v>
      </c>
      <c r="I36" s="24" t="s">
        <v>69</v>
      </c>
      <c r="J36" s="25" t="s">
        <v>70</v>
      </c>
      <c r="K36" s="25">
        <v>33</v>
      </c>
      <c r="L36" s="26">
        <v>90</v>
      </c>
      <c r="M36" s="27">
        <v>3.3</v>
      </c>
      <c r="N36" s="26">
        <f t="shared" ref="N36:N40" si="5">L36*M36</f>
        <v>297</v>
      </c>
    </row>
    <row r="37" spans="2:14" ht="15" x14ac:dyDescent="0.25">
      <c r="B37" s="1" t="s">
        <v>153</v>
      </c>
      <c r="E37" s="3">
        <f>SUM(E29:E36)</f>
        <v>29834</v>
      </c>
      <c r="G37" s="3">
        <f>SUM(G29:G36)</f>
        <v>286621</v>
      </c>
      <c r="I37" s="24"/>
      <c r="J37" s="25"/>
      <c r="K37" s="25">
        <v>35</v>
      </c>
      <c r="L37" s="26">
        <v>487</v>
      </c>
      <c r="M37" s="27">
        <v>3.7</v>
      </c>
      <c r="N37" s="26">
        <f t="shared" si="5"/>
        <v>1802</v>
      </c>
    </row>
    <row r="38" spans="2:14" ht="15" x14ac:dyDescent="0.25">
      <c r="I38" s="24"/>
      <c r="J38" s="25"/>
      <c r="K38" s="25">
        <v>39</v>
      </c>
      <c r="L38" s="26">
        <v>0</v>
      </c>
      <c r="M38" s="27">
        <v>3.2</v>
      </c>
      <c r="N38" s="26">
        <f t="shared" si="5"/>
        <v>0</v>
      </c>
    </row>
    <row r="39" spans="2:14" ht="15" x14ac:dyDescent="0.25">
      <c r="I39" s="24"/>
      <c r="J39" s="25"/>
      <c r="K39" s="25">
        <v>79</v>
      </c>
      <c r="L39" s="26">
        <v>963</v>
      </c>
      <c r="M39" s="27">
        <v>3.6</v>
      </c>
      <c r="N39" s="26">
        <f t="shared" si="5"/>
        <v>3467</v>
      </c>
    </row>
    <row r="40" spans="2:14" ht="15" x14ac:dyDescent="0.25">
      <c r="B40" s="24" t="s">
        <v>235</v>
      </c>
      <c r="C40" s="25" t="s">
        <v>51</v>
      </c>
      <c r="D40" s="25">
        <v>405</v>
      </c>
      <c r="E40" s="26">
        <v>3523</v>
      </c>
      <c r="F40" s="27">
        <v>16.8</v>
      </c>
      <c r="G40" s="26">
        <f>E40*F40</f>
        <v>59186</v>
      </c>
      <c r="I40" s="24"/>
      <c r="J40" s="25"/>
      <c r="K40" s="25">
        <v>194</v>
      </c>
      <c r="L40" s="22">
        <v>146</v>
      </c>
      <c r="M40" s="27">
        <v>7.4</v>
      </c>
      <c r="N40" s="22">
        <f t="shared" si="5"/>
        <v>1080</v>
      </c>
    </row>
    <row r="41" spans="2:14" ht="15" x14ac:dyDescent="0.25">
      <c r="B41" s="24" t="s">
        <v>236</v>
      </c>
      <c r="C41" s="25" t="s">
        <v>51</v>
      </c>
      <c r="D41" s="25">
        <v>483</v>
      </c>
      <c r="E41" s="22">
        <v>22298</v>
      </c>
      <c r="F41" s="27">
        <v>35</v>
      </c>
      <c r="G41" s="22">
        <f>E41*F41</f>
        <v>780430</v>
      </c>
      <c r="I41" s="1" t="s">
        <v>165</v>
      </c>
      <c r="J41" s="2"/>
      <c r="K41" s="2"/>
      <c r="L41" s="3">
        <f>SUM(L36:L40)</f>
        <v>1686</v>
      </c>
      <c r="M41" s="4"/>
      <c r="N41" s="3">
        <f>SUM(N36:N40)</f>
        <v>6646</v>
      </c>
    </row>
    <row r="42" spans="2:14" x14ac:dyDescent="0.2">
      <c r="B42" s="1" t="s">
        <v>237</v>
      </c>
      <c r="E42" s="3">
        <f>SUM(E40:E41)</f>
        <v>25821</v>
      </c>
      <c r="G42" s="3">
        <f>SUM(G40:G41)</f>
        <v>839616</v>
      </c>
      <c r="J42" s="2"/>
      <c r="K42" s="2"/>
      <c r="L42" s="3"/>
      <c r="M42" s="4"/>
      <c r="N42" s="3"/>
    </row>
    <row r="43" spans="2:14" ht="15" x14ac:dyDescent="0.25">
      <c r="I43" s="24" t="s">
        <v>7</v>
      </c>
      <c r="J43" s="25" t="s">
        <v>71</v>
      </c>
      <c r="K43" s="25">
        <v>40</v>
      </c>
      <c r="L43" s="26">
        <v>10997</v>
      </c>
      <c r="M43" s="27">
        <v>5.0999999999999996</v>
      </c>
      <c r="N43" s="26">
        <f>L43*M43</f>
        <v>56085</v>
      </c>
    </row>
    <row r="44" spans="2:14" ht="15" x14ac:dyDescent="0.25">
      <c r="B44" s="24" t="s">
        <v>52</v>
      </c>
      <c r="C44" s="25" t="s">
        <v>53</v>
      </c>
      <c r="D44" s="25">
        <v>26</v>
      </c>
      <c r="E44" s="26">
        <v>6210</v>
      </c>
      <c r="F44" s="27">
        <v>3.9</v>
      </c>
      <c r="G44" s="28">
        <f>E44*F44</f>
        <v>24219</v>
      </c>
      <c r="J44" s="2"/>
      <c r="K44" s="25">
        <v>416</v>
      </c>
      <c r="L44" s="22">
        <v>780</v>
      </c>
      <c r="M44" s="27">
        <v>8.9</v>
      </c>
      <c r="N44" s="22">
        <f>L44*M44</f>
        <v>6942</v>
      </c>
    </row>
    <row r="45" spans="2:14" ht="15" x14ac:dyDescent="0.25">
      <c r="B45" s="24"/>
      <c r="C45" s="25"/>
      <c r="D45" s="25">
        <v>35</v>
      </c>
      <c r="E45" s="28">
        <v>13319</v>
      </c>
      <c r="F45" s="29">
        <v>3.7</v>
      </c>
      <c r="G45" s="28">
        <f>E45*F45</f>
        <v>49280</v>
      </c>
      <c r="I45" s="1" t="s">
        <v>166</v>
      </c>
      <c r="J45" s="2"/>
      <c r="K45" s="25"/>
      <c r="L45" s="3">
        <f>SUM(L43:L44)</f>
        <v>11777</v>
      </c>
      <c r="M45" s="4"/>
      <c r="N45" s="3">
        <f>SUM(N43:N44)</f>
        <v>63027</v>
      </c>
    </row>
    <row r="46" spans="2:14" ht="15" x14ac:dyDescent="0.25">
      <c r="B46" s="24"/>
      <c r="C46" s="25"/>
      <c r="D46" s="25">
        <v>194</v>
      </c>
      <c r="E46" s="28">
        <v>5280</v>
      </c>
      <c r="F46" s="29">
        <v>7.4</v>
      </c>
      <c r="G46" s="28">
        <f>E46*F46</f>
        <v>39072</v>
      </c>
      <c r="J46" s="2"/>
      <c r="K46" s="2"/>
      <c r="L46" s="3"/>
      <c r="M46" s="4"/>
      <c r="N46" s="3"/>
    </row>
    <row r="47" spans="2:14" ht="15" x14ac:dyDescent="0.25">
      <c r="B47" s="24"/>
      <c r="C47" s="25"/>
      <c r="D47" s="25">
        <v>406</v>
      </c>
      <c r="E47" s="28">
        <v>1118</v>
      </c>
      <c r="F47" s="29">
        <v>12.5</v>
      </c>
      <c r="G47" s="28">
        <f>E47*F47</f>
        <v>13975</v>
      </c>
      <c r="I47" s="24" t="s">
        <v>173</v>
      </c>
      <c r="J47" s="25" t="s">
        <v>72</v>
      </c>
      <c r="K47" s="25"/>
      <c r="L47" s="26"/>
      <c r="M47" s="27"/>
      <c r="N47" s="26"/>
    </row>
    <row r="48" spans="2:14" ht="15" x14ac:dyDescent="0.25">
      <c r="B48" s="1" t="s">
        <v>154</v>
      </c>
      <c r="D48" s="25">
        <v>416</v>
      </c>
      <c r="E48" s="30">
        <v>24561</v>
      </c>
      <c r="F48" s="29">
        <v>8.9</v>
      </c>
      <c r="G48" s="30">
        <f>E48*F48</f>
        <v>218593</v>
      </c>
      <c r="J48" s="25"/>
      <c r="K48" s="25">
        <v>194</v>
      </c>
      <c r="L48" s="22">
        <v>11674</v>
      </c>
      <c r="M48" s="27">
        <v>7.4</v>
      </c>
      <c r="N48" s="22">
        <f>L48*M48</f>
        <v>86388</v>
      </c>
    </row>
    <row r="49" spans="2:14" x14ac:dyDescent="0.2">
      <c r="E49" s="13">
        <f>SUM(E44:E48)</f>
        <v>50488</v>
      </c>
      <c r="F49" s="14"/>
      <c r="G49" s="13">
        <f>SUM(G44:G48)</f>
        <v>345139</v>
      </c>
      <c r="I49" s="1" t="s">
        <v>161</v>
      </c>
      <c r="J49" s="2"/>
      <c r="K49" s="2"/>
      <c r="L49" s="3">
        <f>SUM(L47:L48)</f>
        <v>11674</v>
      </c>
      <c r="M49" s="4"/>
      <c r="N49" s="3">
        <f>SUM(N47:N48)</f>
        <v>86388</v>
      </c>
    </row>
    <row r="50" spans="2:14" x14ac:dyDescent="0.2">
      <c r="J50" s="2"/>
      <c r="K50" s="2"/>
      <c r="L50" s="3"/>
      <c r="M50" s="4"/>
      <c r="N50" s="3"/>
    </row>
    <row r="51" spans="2:14" ht="15" x14ac:dyDescent="0.25">
      <c r="B51" s="24" t="s">
        <v>160</v>
      </c>
      <c r="C51" s="25" t="s">
        <v>54</v>
      </c>
      <c r="D51" s="25">
        <v>30</v>
      </c>
      <c r="E51" s="26"/>
      <c r="F51" s="27">
        <v>3</v>
      </c>
      <c r="G51" s="26">
        <f t="shared" ref="G51:G56" si="6">E51*F51</f>
        <v>0</v>
      </c>
      <c r="I51" s="24" t="s">
        <v>167</v>
      </c>
      <c r="J51" s="25" t="s">
        <v>73</v>
      </c>
      <c r="K51" s="25">
        <v>10</v>
      </c>
      <c r="L51" s="26">
        <v>364</v>
      </c>
      <c r="M51" s="27">
        <v>3.3</v>
      </c>
      <c r="N51" s="26">
        <f>L51*M51</f>
        <v>1201</v>
      </c>
    </row>
    <row r="52" spans="2:14" ht="15" x14ac:dyDescent="0.25">
      <c r="B52" s="24"/>
      <c r="C52" s="25"/>
      <c r="D52" s="25">
        <v>35</v>
      </c>
      <c r="E52" s="26">
        <v>34882</v>
      </c>
      <c r="F52" s="27">
        <v>3.7</v>
      </c>
      <c r="G52" s="26">
        <f t="shared" si="6"/>
        <v>129063</v>
      </c>
      <c r="I52" s="24"/>
      <c r="J52" s="25" t="s">
        <v>73</v>
      </c>
      <c r="K52" s="25">
        <v>34</v>
      </c>
      <c r="L52" s="26">
        <v>1636</v>
      </c>
      <c r="M52" s="27">
        <v>3.8</v>
      </c>
      <c r="N52" s="26">
        <f>L52*M52</f>
        <v>6217</v>
      </c>
    </row>
    <row r="53" spans="2:14" ht="15" x14ac:dyDescent="0.25">
      <c r="B53" s="24"/>
      <c r="C53" s="25"/>
      <c r="D53" s="25">
        <v>194</v>
      </c>
      <c r="E53" s="26">
        <v>9992</v>
      </c>
      <c r="F53" s="27">
        <v>7.4</v>
      </c>
      <c r="G53" s="26">
        <f t="shared" si="6"/>
        <v>73941</v>
      </c>
      <c r="I53" s="24"/>
      <c r="J53" s="25" t="s">
        <v>73</v>
      </c>
      <c r="K53" s="25">
        <v>35</v>
      </c>
      <c r="L53" s="26">
        <v>833</v>
      </c>
      <c r="M53" s="27">
        <v>3.7</v>
      </c>
      <c r="N53" s="26">
        <f>L53*M53</f>
        <v>3082</v>
      </c>
    </row>
    <row r="54" spans="2:14" ht="15" x14ac:dyDescent="0.25">
      <c r="B54" s="24"/>
      <c r="C54" s="25"/>
      <c r="D54" s="25">
        <v>405</v>
      </c>
      <c r="E54" s="26">
        <v>12313</v>
      </c>
      <c r="F54" s="27">
        <v>16.8</v>
      </c>
      <c r="G54" s="26">
        <f t="shared" si="6"/>
        <v>206858</v>
      </c>
      <c r="I54" s="24"/>
      <c r="J54" s="25" t="s">
        <v>73</v>
      </c>
      <c r="K54" s="25">
        <v>194</v>
      </c>
      <c r="L54" s="26">
        <v>875</v>
      </c>
      <c r="M54" s="27">
        <v>7.4</v>
      </c>
      <c r="N54" s="26">
        <f>L54*M54</f>
        <v>6475</v>
      </c>
    </row>
    <row r="55" spans="2:14" ht="15" x14ac:dyDescent="0.25">
      <c r="B55" s="24"/>
      <c r="C55" s="25"/>
      <c r="D55" s="25">
        <v>416</v>
      </c>
      <c r="E55" s="26">
        <v>48593</v>
      </c>
      <c r="F55" s="27">
        <v>8.9</v>
      </c>
      <c r="G55" s="26">
        <f t="shared" si="6"/>
        <v>432478</v>
      </c>
      <c r="I55" s="24"/>
      <c r="J55" s="25" t="s">
        <v>73</v>
      </c>
      <c r="K55" s="25">
        <v>416</v>
      </c>
      <c r="L55" s="22">
        <v>13849</v>
      </c>
      <c r="M55" s="27">
        <v>8.9</v>
      </c>
      <c r="N55" s="22">
        <f>L55*M55</f>
        <v>123256</v>
      </c>
    </row>
    <row r="56" spans="2:14" ht="15" x14ac:dyDescent="0.25">
      <c r="B56" s="24"/>
      <c r="C56" s="25"/>
      <c r="D56" s="25">
        <v>417</v>
      </c>
      <c r="E56" s="22">
        <v>2867</v>
      </c>
      <c r="F56" s="27">
        <v>9.9</v>
      </c>
      <c r="G56" s="22">
        <f t="shared" si="6"/>
        <v>28383</v>
      </c>
      <c r="I56" s="1" t="s">
        <v>159</v>
      </c>
      <c r="J56" s="2"/>
      <c r="K56" s="2"/>
      <c r="L56" s="3">
        <f>SUM(L51:L55)</f>
        <v>17557</v>
      </c>
      <c r="M56" s="4"/>
      <c r="N56" s="3">
        <f>SUM(N51:N55)</f>
        <v>140231</v>
      </c>
    </row>
    <row r="57" spans="2:14" x14ac:dyDescent="0.2">
      <c r="B57" s="1" t="s">
        <v>155</v>
      </c>
      <c r="E57" s="3">
        <f>SUM(E51:E56)</f>
        <v>108647</v>
      </c>
      <c r="G57" s="3">
        <f>SUM(G51:G56)</f>
        <v>870723</v>
      </c>
      <c r="J57" s="2"/>
      <c r="K57" s="2"/>
      <c r="L57" s="3"/>
      <c r="M57" s="4"/>
      <c r="N57" s="3"/>
    </row>
    <row r="58" spans="2:14" ht="15" x14ac:dyDescent="0.25">
      <c r="B58" s="24"/>
      <c r="C58" s="25"/>
      <c r="D58" s="25"/>
      <c r="E58" s="26"/>
      <c r="F58" s="27"/>
      <c r="G58" s="26"/>
      <c r="I58" s="1" t="s">
        <v>162</v>
      </c>
      <c r="J58" s="2" t="s">
        <v>74</v>
      </c>
      <c r="K58" s="25">
        <v>35</v>
      </c>
      <c r="L58" s="26">
        <v>33150</v>
      </c>
      <c r="M58" s="27">
        <v>3.7</v>
      </c>
      <c r="N58" s="26">
        <f>L58*M58</f>
        <v>122655</v>
      </c>
    </row>
    <row r="59" spans="2:14" ht="15" x14ac:dyDescent="0.25">
      <c r="B59" s="24" t="s">
        <v>55</v>
      </c>
      <c r="C59" s="25" t="s">
        <v>56</v>
      </c>
      <c r="D59" s="25">
        <v>10</v>
      </c>
      <c r="E59" s="26">
        <v>213</v>
      </c>
      <c r="F59" s="27">
        <v>3.3</v>
      </c>
      <c r="G59" s="26">
        <f t="shared" ref="G59:G63" si="7">E59*F59</f>
        <v>703</v>
      </c>
      <c r="K59" s="24">
        <v>36</v>
      </c>
      <c r="L59" s="20">
        <v>5653</v>
      </c>
      <c r="M59" s="24">
        <v>2.4</v>
      </c>
      <c r="N59" s="22">
        <f>L59*M59</f>
        <v>13567</v>
      </c>
    </row>
    <row r="60" spans="2:14" ht="15" x14ac:dyDescent="0.25">
      <c r="B60" s="24"/>
      <c r="C60" s="25"/>
      <c r="D60" s="25">
        <v>35</v>
      </c>
      <c r="E60" s="26">
        <v>2295</v>
      </c>
      <c r="F60" s="27">
        <v>3.7</v>
      </c>
      <c r="G60" s="26">
        <f t="shared" si="7"/>
        <v>8492</v>
      </c>
      <c r="L60" s="5">
        <f>SUM(L58:L59)</f>
        <v>38803</v>
      </c>
      <c r="N60" s="5">
        <f>SUM(N58:N59)</f>
        <v>136222</v>
      </c>
    </row>
    <row r="61" spans="2:14" ht="15" x14ac:dyDescent="0.25">
      <c r="B61" s="24"/>
      <c r="C61" s="25"/>
      <c r="D61" s="25">
        <v>40</v>
      </c>
      <c r="E61" s="26">
        <v>16</v>
      </c>
      <c r="F61" s="27">
        <v>5.0999999999999996</v>
      </c>
      <c r="G61" s="26">
        <f t="shared" si="7"/>
        <v>82</v>
      </c>
    </row>
    <row r="62" spans="2:14" ht="15" x14ac:dyDescent="0.25">
      <c r="B62" s="24"/>
      <c r="C62" s="25"/>
      <c r="D62" s="25">
        <v>117</v>
      </c>
      <c r="E62" s="26">
        <v>77</v>
      </c>
      <c r="F62" s="27">
        <v>5.4</v>
      </c>
      <c r="G62" s="26">
        <f t="shared" si="7"/>
        <v>416</v>
      </c>
    </row>
    <row r="63" spans="2:14" ht="15" x14ac:dyDescent="0.25">
      <c r="B63" s="24"/>
      <c r="C63" s="25"/>
      <c r="D63" s="25">
        <v>479</v>
      </c>
      <c r="E63" s="22">
        <v>2387</v>
      </c>
      <c r="F63" s="27">
        <v>9.9</v>
      </c>
      <c r="G63" s="22">
        <f t="shared" si="7"/>
        <v>23631</v>
      </c>
    </row>
    <row r="64" spans="2:14" x14ac:dyDescent="0.2">
      <c r="B64" s="1" t="s">
        <v>156</v>
      </c>
      <c r="E64" s="3">
        <f>SUM(E59:E63)</f>
        <v>4988</v>
      </c>
      <c r="G64" s="3">
        <f>SUM(G59:G63)</f>
        <v>33324</v>
      </c>
    </row>
    <row r="65" spans="2:14" ht="15" x14ac:dyDescent="0.25">
      <c r="I65" s="24"/>
      <c r="J65" s="24"/>
      <c r="K65" s="24"/>
      <c r="L65" s="24"/>
      <c r="M65" s="31"/>
      <c r="N65" s="31"/>
    </row>
    <row r="66" spans="2:14" ht="15" x14ac:dyDescent="0.25">
      <c r="B66" s="24" t="s">
        <v>57</v>
      </c>
      <c r="C66" s="25" t="s">
        <v>58</v>
      </c>
      <c r="D66" s="25">
        <v>40</v>
      </c>
      <c r="E66" s="26">
        <v>1695</v>
      </c>
      <c r="F66" s="27">
        <v>5.0999999999999996</v>
      </c>
      <c r="G66" s="26">
        <f>E66*F66</f>
        <v>8645</v>
      </c>
      <c r="I66" s="20"/>
      <c r="J66" s="20"/>
      <c r="K66" s="20"/>
      <c r="L66" s="20"/>
      <c r="M66" s="42"/>
      <c r="N66" s="42"/>
    </row>
    <row r="67" spans="2:14" ht="15" x14ac:dyDescent="0.25">
      <c r="B67" s="24"/>
      <c r="C67" s="25"/>
      <c r="D67" s="25">
        <v>79</v>
      </c>
      <c r="E67" s="26">
        <v>5329</v>
      </c>
      <c r="F67" s="27">
        <v>3.6</v>
      </c>
      <c r="G67" s="26">
        <f>E67*F67</f>
        <v>19184</v>
      </c>
      <c r="M67" s="5"/>
      <c r="N67" s="5"/>
    </row>
    <row r="68" spans="2:14" ht="15" x14ac:dyDescent="0.25">
      <c r="B68" s="24"/>
      <c r="C68" s="25"/>
      <c r="D68" s="25">
        <v>131</v>
      </c>
      <c r="E68" s="22">
        <v>2297</v>
      </c>
      <c r="F68" s="27">
        <v>6.2</v>
      </c>
      <c r="G68" s="22">
        <f>E68*F68</f>
        <v>14241</v>
      </c>
      <c r="I68" s="24"/>
      <c r="J68" s="24"/>
      <c r="K68" s="24"/>
      <c r="L68" s="24"/>
      <c r="M68" s="31"/>
      <c r="N68" s="31"/>
    </row>
    <row r="69" spans="2:14" ht="15" x14ac:dyDescent="0.25">
      <c r="B69" s="1" t="s">
        <v>157</v>
      </c>
      <c r="E69" s="3">
        <f>SUM(E66:E68)</f>
        <v>9321</v>
      </c>
      <c r="G69" s="3">
        <f>SUM(G66:G68)</f>
        <v>42070</v>
      </c>
      <c r="I69" s="24"/>
      <c r="J69" s="24"/>
      <c r="K69" s="24"/>
      <c r="L69" s="24"/>
      <c r="M69" s="31"/>
      <c r="N69" s="31"/>
    </row>
    <row r="70" spans="2:14" ht="15" x14ac:dyDescent="0.25">
      <c r="D70" s="1"/>
      <c r="E70" s="1"/>
      <c r="F70" s="1"/>
      <c r="G70" s="1"/>
      <c r="I70" s="24"/>
      <c r="J70" s="24"/>
      <c r="K70" s="24"/>
      <c r="L70" s="24"/>
      <c r="M70" s="31"/>
      <c r="N70" s="31"/>
    </row>
    <row r="71" spans="2:14" ht="15" x14ac:dyDescent="0.25">
      <c r="I71" s="24"/>
      <c r="J71" s="24"/>
      <c r="K71" s="24"/>
      <c r="L71" s="24"/>
      <c r="M71" s="31"/>
      <c r="N71" s="31"/>
    </row>
    <row r="72" spans="2:14" ht="15" x14ac:dyDescent="0.25">
      <c r="I72" s="24"/>
      <c r="J72" s="24"/>
      <c r="K72" s="24"/>
      <c r="L72" s="24"/>
      <c r="M72" s="31"/>
      <c r="N72" s="31"/>
    </row>
    <row r="73" spans="2:14" x14ac:dyDescent="0.2">
      <c r="M73" s="5"/>
      <c r="N73" s="5"/>
    </row>
    <row r="74" spans="2:14" ht="15" x14ac:dyDescent="0.25">
      <c r="I74" s="24"/>
      <c r="J74" s="24"/>
      <c r="K74" s="24"/>
      <c r="L74" s="24"/>
      <c r="M74" s="31"/>
      <c r="N74" s="31"/>
    </row>
    <row r="75" spans="2:14" ht="15" x14ac:dyDescent="0.25">
      <c r="I75" s="24"/>
      <c r="J75" s="24"/>
      <c r="K75" s="24"/>
      <c r="L75" s="24"/>
      <c r="M75" s="31"/>
      <c r="N75" s="31"/>
    </row>
    <row r="76" spans="2:14" ht="15" x14ac:dyDescent="0.25">
      <c r="I76" s="24"/>
      <c r="J76" s="24"/>
      <c r="K76" s="24"/>
      <c r="L76" s="24"/>
      <c r="M76" s="31"/>
      <c r="N76" s="31"/>
    </row>
    <row r="77" spans="2:14" ht="15" x14ac:dyDescent="0.25">
      <c r="I77" s="24"/>
      <c r="J77" s="24"/>
      <c r="K77" s="24"/>
      <c r="L77" s="24"/>
      <c r="M77" s="31"/>
      <c r="N77" s="31"/>
    </row>
    <row r="78" spans="2:14" ht="15" x14ac:dyDescent="0.25">
      <c r="I78" s="24"/>
      <c r="J78" s="24"/>
      <c r="K78" s="24"/>
      <c r="L78" s="24"/>
      <c r="M78" s="31"/>
      <c r="N78" s="31"/>
    </row>
    <row r="79" spans="2:14" ht="15" x14ac:dyDescent="0.25">
      <c r="I79" s="24"/>
      <c r="J79" s="24"/>
      <c r="K79" s="24"/>
      <c r="L79" s="24"/>
      <c r="M79" s="31"/>
      <c r="N79" s="31"/>
    </row>
    <row r="80" spans="2:14" ht="15" x14ac:dyDescent="0.25">
      <c r="I80" s="24"/>
      <c r="J80" s="24"/>
      <c r="K80" s="24"/>
      <c r="L80" s="24"/>
      <c r="M80" s="31"/>
      <c r="N80" s="31"/>
    </row>
    <row r="81" spans="9:14" ht="15" x14ac:dyDescent="0.25">
      <c r="I81" s="24"/>
      <c r="J81" s="24"/>
      <c r="K81" s="24"/>
      <c r="L81" s="24"/>
      <c r="M81" s="31"/>
      <c r="N81" s="31"/>
    </row>
    <row r="82" spans="9:14" ht="15" x14ac:dyDescent="0.25">
      <c r="I82" s="24"/>
      <c r="J82" s="24"/>
      <c r="K82" s="24"/>
      <c r="L82" s="24"/>
      <c r="M82" s="31"/>
      <c r="N82" s="31"/>
    </row>
    <row r="83" spans="9:14" ht="15" x14ac:dyDescent="0.25">
      <c r="I83" s="24"/>
      <c r="J83" s="24"/>
      <c r="K83" s="24"/>
      <c r="L83" s="24"/>
      <c r="M83" s="31"/>
      <c r="N83" s="31"/>
    </row>
    <row r="84" spans="9:14" ht="15" x14ac:dyDescent="0.25">
      <c r="I84" s="24"/>
      <c r="J84" s="24"/>
      <c r="K84" s="24"/>
      <c r="L84" s="24"/>
      <c r="M84" s="31"/>
      <c r="N84" s="31"/>
    </row>
    <row r="85" spans="9:14" ht="15" x14ac:dyDescent="0.25">
      <c r="I85" s="24"/>
      <c r="J85" s="24"/>
      <c r="K85" s="24"/>
      <c r="L85" s="24"/>
      <c r="M85" s="31"/>
      <c r="N85" s="31"/>
    </row>
    <row r="86" spans="9:14" ht="15" x14ac:dyDescent="0.25">
      <c r="I86" s="24"/>
      <c r="J86" s="24"/>
      <c r="K86" s="24"/>
      <c r="L86" s="24"/>
      <c r="M86" s="31"/>
      <c r="N86" s="31"/>
    </row>
    <row r="87" spans="9:14" x14ac:dyDescent="0.2">
      <c r="M87" s="5"/>
      <c r="N87" s="5"/>
    </row>
    <row r="88" spans="9:14" ht="15" x14ac:dyDescent="0.25">
      <c r="I88" s="24"/>
      <c r="J88" s="24"/>
      <c r="K88" s="24"/>
      <c r="L88" s="24"/>
      <c r="M88" s="31"/>
      <c r="N88" s="31"/>
    </row>
    <row r="89" spans="9:14" ht="15" x14ac:dyDescent="0.25">
      <c r="I89" s="24"/>
      <c r="J89" s="24"/>
      <c r="K89" s="24"/>
      <c r="L89" s="24"/>
      <c r="M89" s="31"/>
      <c r="N89" s="31"/>
    </row>
    <row r="90" spans="9:14" ht="15" x14ac:dyDescent="0.25">
      <c r="I90" s="24"/>
      <c r="J90" s="24"/>
      <c r="K90" s="24"/>
      <c r="L90" s="24"/>
      <c r="M90" s="31"/>
      <c r="N90" s="31"/>
    </row>
    <row r="91" spans="9:14" ht="15" x14ac:dyDescent="0.25">
      <c r="I91" s="24"/>
      <c r="J91" s="24"/>
      <c r="K91" s="24"/>
      <c r="L91" s="24"/>
      <c r="M91" s="31"/>
      <c r="N91" s="31"/>
    </row>
    <row r="92" spans="9:14" x14ac:dyDescent="0.2">
      <c r="M92" s="5"/>
      <c r="N92" s="5"/>
    </row>
    <row r="93" spans="9:14" ht="15" x14ac:dyDescent="0.25">
      <c r="I93" s="24"/>
      <c r="J93" s="24"/>
      <c r="K93" s="24"/>
      <c r="L93" s="24"/>
      <c r="M93" s="31"/>
      <c r="N93" s="31"/>
    </row>
    <row r="94" spans="9:14" x14ac:dyDescent="0.2">
      <c r="M94" s="5"/>
      <c r="N94" s="5"/>
    </row>
    <row r="95" spans="9:14" ht="15" x14ac:dyDescent="0.25">
      <c r="I95" s="24"/>
      <c r="J95" s="24"/>
      <c r="K95" s="24"/>
      <c r="L95" s="24"/>
      <c r="M95" s="31"/>
      <c r="N95" s="31"/>
    </row>
    <row r="104" ht="14.1" customHeight="1" x14ac:dyDescent="0.2"/>
    <row r="110" ht="14.1" customHeight="1" x14ac:dyDescent="0.2"/>
    <row r="126" spans="8:8" x14ac:dyDescent="0.2">
      <c r="H126" s="7"/>
    </row>
    <row r="135" spans="2:7" x14ac:dyDescent="0.2">
      <c r="C135" s="16"/>
      <c r="D135" s="16"/>
      <c r="E135" s="13"/>
      <c r="F135" s="14"/>
      <c r="G135" s="15"/>
    </row>
    <row r="136" spans="2:7" ht="15" x14ac:dyDescent="0.25">
      <c r="B136" s="82"/>
      <c r="C136" s="8"/>
      <c r="D136" s="92"/>
      <c r="E136" s="93"/>
      <c r="F136" s="94"/>
      <c r="G136" s="95"/>
    </row>
    <row r="137" spans="2:7" ht="15" x14ac:dyDescent="0.25">
      <c r="B137" s="47"/>
      <c r="C137" s="17"/>
      <c r="D137" s="34"/>
      <c r="E137" s="35"/>
      <c r="F137" s="36"/>
      <c r="G137" s="35"/>
    </row>
    <row r="138" spans="2:7" ht="15" x14ac:dyDescent="0.25">
      <c r="B138" s="47"/>
      <c r="C138" s="34"/>
      <c r="D138" s="34"/>
      <c r="E138" s="35"/>
      <c r="F138" s="36"/>
      <c r="G138" s="35"/>
    </row>
    <row r="139" spans="2:7" ht="15" x14ac:dyDescent="0.25">
      <c r="B139" s="47"/>
      <c r="C139" s="34"/>
      <c r="D139" s="34"/>
      <c r="E139" s="37"/>
      <c r="F139" s="36"/>
      <c r="G139" s="37"/>
    </row>
    <row r="140" spans="2:7" ht="15" x14ac:dyDescent="0.25">
      <c r="B140" s="47"/>
      <c r="C140" s="34"/>
      <c r="D140" s="34"/>
      <c r="E140" s="35"/>
      <c r="F140" s="36"/>
      <c r="G140" s="35"/>
    </row>
    <row r="141" spans="2:7" x14ac:dyDescent="0.2">
      <c r="B141" s="7"/>
      <c r="C141" s="17"/>
      <c r="D141" s="17"/>
      <c r="E141" s="70"/>
      <c r="F141" s="71"/>
      <c r="G141" s="70"/>
    </row>
    <row r="142" spans="2:7" ht="15" x14ac:dyDescent="0.25">
      <c r="B142" s="47"/>
      <c r="C142" s="34"/>
      <c r="D142" s="34"/>
      <c r="E142" s="35"/>
      <c r="F142" s="36"/>
      <c r="G142" s="35"/>
    </row>
    <row r="143" spans="2:7" x14ac:dyDescent="0.2">
      <c r="B143" s="7"/>
      <c r="C143" s="17"/>
      <c r="D143" s="17"/>
      <c r="E143" s="70"/>
      <c r="F143" s="71"/>
      <c r="G143" s="70"/>
    </row>
    <row r="144" spans="2:7" x14ac:dyDescent="0.2">
      <c r="B144" s="7"/>
      <c r="C144" s="17"/>
      <c r="D144" s="17"/>
      <c r="E144" s="70"/>
      <c r="F144" s="71"/>
      <c r="G144" s="70"/>
    </row>
  </sheetData>
  <sheetProtection algorithmName="SHA-512" hashValue="JQU7MdOXdYuCuA1Hhb452Y49kcruJQl3eEcu/hNS2njfP3tlY3dwcVmiJt9VCk48iJIuiY/6vw4RyG9n2MwkDA==" saltValue="2ipPWr4SK5eCZ/G8jVKk5g==" spinCount="100000" sheet="1" objects="1" scenarios="1"/>
  <mergeCells count="1">
    <mergeCell ref="A4:N4"/>
  </mergeCells>
  <pageMargins left="0.7" right="0.7" top="0.75" bottom="0.75" header="0.3" footer="0.3"/>
  <pageSetup scale="60" orientation="portrait" verticalDpi="598" r:id="rId1"/>
  <rowBreaks count="2" manualBreakCount="2">
    <brk id="43" max="16383" man="1"/>
    <brk id="7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sqref="A1:D83"/>
    </sheetView>
  </sheetViews>
  <sheetFormatPr defaultRowHeight="15" x14ac:dyDescent="0.25"/>
  <cols>
    <col min="1" max="1" width="40.5703125" bestFit="1" customWidth="1"/>
    <col min="2" max="2" width="4.7109375" bestFit="1" customWidth="1"/>
    <col min="3" max="3" width="4" bestFit="1" customWidth="1"/>
    <col min="4" max="4" width="17.5703125" bestFit="1" customWidth="1"/>
    <col min="6" max="6" width="40.5703125" bestFit="1" customWidth="1"/>
    <col min="7" max="7" width="4.5703125" bestFit="1" customWidth="1"/>
    <col min="8" max="8" width="4" bestFit="1" customWidth="1"/>
    <col min="9" max="9" width="17.5703125" bestFit="1" customWidth="1"/>
  </cols>
  <sheetData>
    <row r="1" spans="1:4" x14ac:dyDescent="0.25">
      <c r="D1" t="s">
        <v>209</v>
      </c>
    </row>
    <row r="2" spans="1:4" x14ac:dyDescent="0.25">
      <c r="A2" t="s">
        <v>44</v>
      </c>
      <c r="B2" t="s">
        <v>45</v>
      </c>
      <c r="C2">
        <v>31</v>
      </c>
      <c r="D2">
        <v>10</v>
      </c>
    </row>
    <row r="3" spans="1:4" x14ac:dyDescent="0.25">
      <c r="A3" t="s">
        <v>44</v>
      </c>
      <c r="B3" t="s">
        <v>45</v>
      </c>
      <c r="C3">
        <v>35</v>
      </c>
      <c r="D3" s="38">
        <v>778</v>
      </c>
    </row>
    <row r="4" spans="1:4" x14ac:dyDescent="0.25">
      <c r="A4" t="s">
        <v>44</v>
      </c>
      <c r="B4" t="s">
        <v>45</v>
      </c>
      <c r="C4">
        <v>80</v>
      </c>
      <c r="D4">
        <v>38</v>
      </c>
    </row>
    <row r="5" spans="1:4" x14ac:dyDescent="0.25">
      <c r="A5" t="s">
        <v>44</v>
      </c>
      <c r="B5" t="s">
        <v>45</v>
      </c>
      <c r="C5">
        <v>194</v>
      </c>
      <c r="D5">
        <v>124</v>
      </c>
    </row>
    <row r="6" spans="1:4" x14ac:dyDescent="0.25">
      <c r="A6" t="s">
        <v>182</v>
      </c>
      <c r="B6" t="s">
        <v>46</v>
      </c>
      <c r="C6">
        <v>35</v>
      </c>
      <c r="D6" s="38">
        <v>1102</v>
      </c>
    </row>
    <row r="7" spans="1:4" x14ac:dyDescent="0.25">
      <c r="A7" t="s">
        <v>182</v>
      </c>
      <c r="B7" t="s">
        <v>46</v>
      </c>
      <c r="C7">
        <v>40</v>
      </c>
      <c r="D7">
        <v>40</v>
      </c>
    </row>
    <row r="8" spans="1:4" x14ac:dyDescent="0.25">
      <c r="A8" t="s">
        <v>182</v>
      </c>
      <c r="B8" t="s">
        <v>46</v>
      </c>
      <c r="C8">
        <v>79</v>
      </c>
      <c r="D8">
        <v>396</v>
      </c>
    </row>
    <row r="9" spans="1:4" x14ac:dyDescent="0.25">
      <c r="A9" t="s">
        <v>182</v>
      </c>
      <c r="B9" t="s">
        <v>46</v>
      </c>
      <c r="C9">
        <v>194</v>
      </c>
      <c r="D9" s="38">
        <v>77</v>
      </c>
    </row>
    <row r="10" spans="1:4" x14ac:dyDescent="0.25">
      <c r="A10" t="s">
        <v>182</v>
      </c>
      <c r="B10" t="s">
        <v>46</v>
      </c>
      <c r="C10">
        <v>415</v>
      </c>
      <c r="D10">
        <v>281</v>
      </c>
    </row>
    <row r="11" spans="1:4" x14ac:dyDescent="0.25">
      <c r="A11" t="s">
        <v>182</v>
      </c>
      <c r="B11" t="s">
        <v>46</v>
      </c>
      <c r="C11">
        <v>416</v>
      </c>
      <c r="D11">
        <v>60</v>
      </c>
    </row>
    <row r="12" spans="1:4" x14ac:dyDescent="0.25">
      <c r="A12" t="s">
        <v>183</v>
      </c>
      <c r="B12" t="s">
        <v>184</v>
      </c>
      <c r="C12">
        <v>405</v>
      </c>
      <c r="D12" s="38">
        <v>11477</v>
      </c>
    </row>
    <row r="13" spans="1:4" x14ac:dyDescent="0.25">
      <c r="A13" t="s">
        <v>171</v>
      </c>
      <c r="B13" t="s">
        <v>48</v>
      </c>
      <c r="C13">
        <v>35</v>
      </c>
      <c r="D13" s="38">
        <v>5517</v>
      </c>
    </row>
    <row r="14" spans="1:4" x14ac:dyDescent="0.25">
      <c r="A14" t="s">
        <v>171</v>
      </c>
      <c r="B14" t="s">
        <v>48</v>
      </c>
      <c r="C14">
        <v>412</v>
      </c>
      <c r="D14" s="38">
        <v>7405</v>
      </c>
    </row>
    <row r="15" spans="1:4" x14ac:dyDescent="0.25">
      <c r="A15" t="s">
        <v>171</v>
      </c>
      <c r="B15" t="s">
        <v>48</v>
      </c>
      <c r="C15">
        <v>416</v>
      </c>
      <c r="D15" s="38">
        <v>1163</v>
      </c>
    </row>
    <row r="16" spans="1:4" x14ac:dyDescent="0.25">
      <c r="A16" t="s">
        <v>171</v>
      </c>
      <c r="B16" t="s">
        <v>48</v>
      </c>
      <c r="C16">
        <v>479</v>
      </c>
      <c r="D16">
        <v>313</v>
      </c>
    </row>
    <row r="17" spans="1:4" x14ac:dyDescent="0.25">
      <c r="A17" t="s">
        <v>49</v>
      </c>
      <c r="B17" t="s">
        <v>50</v>
      </c>
      <c r="C17">
        <v>194</v>
      </c>
      <c r="D17" s="38">
        <v>4358</v>
      </c>
    </row>
    <row r="18" spans="1:4" x14ac:dyDescent="0.25">
      <c r="A18" t="s">
        <v>49</v>
      </c>
      <c r="B18" t="s">
        <v>50</v>
      </c>
      <c r="C18">
        <v>355</v>
      </c>
      <c r="D18" s="38">
        <v>103</v>
      </c>
    </row>
    <row r="19" spans="1:4" x14ac:dyDescent="0.25">
      <c r="A19" t="s">
        <v>49</v>
      </c>
      <c r="B19" t="s">
        <v>50</v>
      </c>
      <c r="C19">
        <v>360</v>
      </c>
      <c r="D19">
        <v>185</v>
      </c>
    </row>
    <row r="20" spans="1:4" x14ac:dyDescent="0.25">
      <c r="A20" t="s">
        <v>49</v>
      </c>
      <c r="B20" t="s">
        <v>50</v>
      </c>
      <c r="C20">
        <v>405</v>
      </c>
      <c r="D20" s="38">
        <v>2049</v>
      </c>
    </row>
    <row r="21" spans="1:4" x14ac:dyDescent="0.25">
      <c r="A21" t="s">
        <v>49</v>
      </c>
      <c r="B21" t="s">
        <v>50</v>
      </c>
      <c r="C21">
        <v>406</v>
      </c>
      <c r="D21" s="38">
        <v>2288</v>
      </c>
    </row>
    <row r="22" spans="1:4" x14ac:dyDescent="0.25">
      <c r="A22" t="s">
        <v>49</v>
      </c>
      <c r="B22" t="s">
        <v>50</v>
      </c>
      <c r="C22">
        <v>412</v>
      </c>
      <c r="D22" s="38">
        <v>620</v>
      </c>
    </row>
    <row r="23" spans="1:4" x14ac:dyDescent="0.25">
      <c r="A23" t="s">
        <v>49</v>
      </c>
      <c r="B23" t="s">
        <v>50</v>
      </c>
      <c r="C23">
        <v>415</v>
      </c>
      <c r="D23" s="38">
        <v>20231</v>
      </c>
    </row>
    <row r="24" spans="1:4" x14ac:dyDescent="0.25">
      <c r="A24" t="s">
        <v>185</v>
      </c>
      <c r="B24" t="s">
        <v>51</v>
      </c>
      <c r="C24">
        <v>405</v>
      </c>
      <c r="D24" s="38">
        <v>3523</v>
      </c>
    </row>
    <row r="25" spans="1:4" x14ac:dyDescent="0.25">
      <c r="A25" t="s">
        <v>185</v>
      </c>
      <c r="B25" t="s">
        <v>51</v>
      </c>
      <c r="C25">
        <v>483</v>
      </c>
      <c r="D25" s="38">
        <v>22298</v>
      </c>
    </row>
    <row r="26" spans="1:4" x14ac:dyDescent="0.25">
      <c r="A26" t="s">
        <v>186</v>
      </c>
      <c r="B26" t="s">
        <v>187</v>
      </c>
      <c r="C26">
        <v>487</v>
      </c>
      <c r="D26" s="38">
        <v>375</v>
      </c>
    </row>
    <row r="27" spans="1:4" x14ac:dyDescent="0.25">
      <c r="A27" t="s">
        <v>52</v>
      </c>
      <c r="B27" t="s">
        <v>53</v>
      </c>
      <c r="C27">
        <v>26</v>
      </c>
      <c r="D27" s="38">
        <v>6210</v>
      </c>
    </row>
    <row r="28" spans="1:4" x14ac:dyDescent="0.25">
      <c r="A28" t="s">
        <v>52</v>
      </c>
      <c r="B28" t="s">
        <v>53</v>
      </c>
      <c r="C28">
        <v>35</v>
      </c>
      <c r="D28" s="38">
        <v>13319</v>
      </c>
    </row>
    <row r="29" spans="1:4" x14ac:dyDescent="0.25">
      <c r="A29" t="s">
        <v>52</v>
      </c>
      <c r="B29" t="s">
        <v>53</v>
      </c>
      <c r="C29">
        <v>194</v>
      </c>
      <c r="D29" s="38">
        <v>5280</v>
      </c>
    </row>
    <row r="30" spans="1:4" x14ac:dyDescent="0.25">
      <c r="A30" t="s">
        <v>52</v>
      </c>
      <c r="B30" t="s">
        <v>53</v>
      </c>
      <c r="C30">
        <v>406</v>
      </c>
      <c r="D30" s="38">
        <v>1118</v>
      </c>
    </row>
    <row r="31" spans="1:4" x14ac:dyDescent="0.25">
      <c r="A31" t="s">
        <v>52</v>
      </c>
      <c r="B31" t="s">
        <v>53</v>
      </c>
      <c r="C31">
        <v>416</v>
      </c>
      <c r="D31" s="38">
        <v>24561</v>
      </c>
    </row>
    <row r="32" spans="1:4" x14ac:dyDescent="0.25">
      <c r="A32" t="s">
        <v>188</v>
      </c>
      <c r="B32" t="s">
        <v>54</v>
      </c>
      <c r="C32">
        <v>35</v>
      </c>
      <c r="D32" s="38">
        <v>34882</v>
      </c>
    </row>
    <row r="33" spans="1:4" x14ac:dyDescent="0.25">
      <c r="A33" t="s">
        <v>188</v>
      </c>
      <c r="B33" t="s">
        <v>54</v>
      </c>
      <c r="C33">
        <v>194</v>
      </c>
      <c r="D33" s="38">
        <v>9992</v>
      </c>
    </row>
    <row r="34" spans="1:4" x14ac:dyDescent="0.25">
      <c r="A34" t="s">
        <v>188</v>
      </c>
      <c r="B34" t="s">
        <v>54</v>
      </c>
      <c r="C34">
        <v>405</v>
      </c>
      <c r="D34" s="38">
        <v>12313</v>
      </c>
    </row>
    <row r="35" spans="1:4" x14ac:dyDescent="0.25">
      <c r="A35" t="s">
        <v>188</v>
      </c>
      <c r="B35" t="s">
        <v>54</v>
      </c>
      <c r="C35">
        <v>416</v>
      </c>
      <c r="D35" s="38">
        <v>48593</v>
      </c>
    </row>
    <row r="36" spans="1:4" x14ac:dyDescent="0.25">
      <c r="A36" t="s">
        <v>188</v>
      </c>
      <c r="B36" t="s">
        <v>54</v>
      </c>
      <c r="C36">
        <v>417</v>
      </c>
      <c r="D36" s="38">
        <v>2867</v>
      </c>
    </row>
    <row r="37" spans="1:4" x14ac:dyDescent="0.25">
      <c r="A37" t="s">
        <v>189</v>
      </c>
      <c r="B37" t="s">
        <v>190</v>
      </c>
      <c r="C37">
        <v>35</v>
      </c>
      <c r="D37" s="38">
        <v>1043</v>
      </c>
    </row>
    <row r="38" spans="1:4" x14ac:dyDescent="0.25">
      <c r="A38" t="s">
        <v>55</v>
      </c>
      <c r="B38" t="s">
        <v>56</v>
      </c>
      <c r="C38">
        <v>10</v>
      </c>
      <c r="D38" s="38">
        <v>213</v>
      </c>
    </row>
    <row r="39" spans="1:4" x14ac:dyDescent="0.25">
      <c r="A39" t="s">
        <v>55</v>
      </c>
      <c r="B39" t="s">
        <v>56</v>
      </c>
      <c r="C39">
        <v>35</v>
      </c>
      <c r="D39" s="38">
        <v>2295</v>
      </c>
    </row>
    <row r="40" spans="1:4" x14ac:dyDescent="0.25">
      <c r="A40" t="s">
        <v>55</v>
      </c>
      <c r="B40" t="s">
        <v>56</v>
      </c>
      <c r="C40">
        <v>40</v>
      </c>
      <c r="D40" s="38">
        <v>16</v>
      </c>
    </row>
    <row r="41" spans="1:4" x14ac:dyDescent="0.25">
      <c r="A41" t="s">
        <v>55</v>
      </c>
      <c r="B41" t="s">
        <v>56</v>
      </c>
      <c r="C41">
        <v>117</v>
      </c>
      <c r="D41">
        <v>77</v>
      </c>
    </row>
    <row r="42" spans="1:4" x14ac:dyDescent="0.25">
      <c r="A42" t="s">
        <v>55</v>
      </c>
      <c r="B42" t="s">
        <v>56</v>
      </c>
      <c r="C42">
        <v>479</v>
      </c>
      <c r="D42" s="38">
        <v>2387</v>
      </c>
    </row>
    <row r="43" spans="1:4" x14ac:dyDescent="0.25">
      <c r="A43" t="s">
        <v>57</v>
      </c>
      <c r="B43" t="s">
        <v>58</v>
      </c>
      <c r="C43">
        <v>31</v>
      </c>
      <c r="D43" s="38">
        <v>117</v>
      </c>
    </row>
    <row r="44" spans="1:4" x14ac:dyDescent="0.25">
      <c r="A44" t="s">
        <v>57</v>
      </c>
      <c r="B44" t="s">
        <v>58</v>
      </c>
      <c r="C44">
        <v>33</v>
      </c>
      <c r="D44" s="38">
        <v>125</v>
      </c>
    </row>
    <row r="45" spans="1:4" x14ac:dyDescent="0.25">
      <c r="A45" t="s">
        <v>57</v>
      </c>
      <c r="B45" t="s">
        <v>58</v>
      </c>
      <c r="C45">
        <v>40</v>
      </c>
      <c r="D45" s="38">
        <v>1695</v>
      </c>
    </row>
    <row r="46" spans="1:4" x14ac:dyDescent="0.25">
      <c r="A46" t="s">
        <v>57</v>
      </c>
      <c r="B46" t="s">
        <v>58</v>
      </c>
      <c r="C46">
        <v>79</v>
      </c>
      <c r="D46" s="38">
        <v>5329</v>
      </c>
    </row>
    <row r="47" spans="1:4" x14ac:dyDescent="0.25">
      <c r="A47" t="s">
        <v>57</v>
      </c>
      <c r="B47" t="s">
        <v>58</v>
      </c>
      <c r="C47">
        <v>131</v>
      </c>
      <c r="D47" s="38">
        <v>2297</v>
      </c>
    </row>
    <row r="48" spans="1:4" x14ac:dyDescent="0.25">
      <c r="A48" t="s">
        <v>191</v>
      </c>
      <c r="B48" t="s">
        <v>47</v>
      </c>
      <c r="C48">
        <v>35</v>
      </c>
      <c r="D48" s="38">
        <v>6341</v>
      </c>
    </row>
    <row r="49" spans="1:4" x14ac:dyDescent="0.25">
      <c r="A49" t="s">
        <v>191</v>
      </c>
      <c r="B49" t="s">
        <v>47</v>
      </c>
      <c r="C49">
        <v>40</v>
      </c>
      <c r="D49" s="38">
        <v>3860</v>
      </c>
    </row>
    <row r="50" spans="1:4" x14ac:dyDescent="0.25">
      <c r="A50" t="s">
        <v>191</v>
      </c>
      <c r="B50" t="s">
        <v>47</v>
      </c>
      <c r="C50">
        <v>79</v>
      </c>
      <c r="D50" s="38">
        <v>1805</v>
      </c>
    </row>
    <row r="51" spans="1:4" x14ac:dyDescent="0.25">
      <c r="A51" t="s">
        <v>191</v>
      </c>
      <c r="B51" t="s">
        <v>47</v>
      </c>
      <c r="C51">
        <v>194</v>
      </c>
      <c r="D51" s="38">
        <v>1645</v>
      </c>
    </row>
    <row r="52" spans="1:4" x14ac:dyDescent="0.25">
      <c r="A52" t="s">
        <v>191</v>
      </c>
      <c r="B52" t="s">
        <v>47</v>
      </c>
      <c r="C52">
        <v>415</v>
      </c>
      <c r="D52" s="38">
        <v>4627</v>
      </c>
    </row>
    <row r="53" spans="1:4" x14ac:dyDescent="0.25">
      <c r="A53" t="s">
        <v>191</v>
      </c>
      <c r="B53" t="s">
        <v>47</v>
      </c>
      <c r="C53">
        <v>416</v>
      </c>
      <c r="D53" s="38">
        <v>1993</v>
      </c>
    </row>
    <row r="54" spans="1:4" x14ac:dyDescent="0.25">
      <c r="A54" t="s">
        <v>192</v>
      </c>
      <c r="B54" t="s">
        <v>193</v>
      </c>
      <c r="C54">
        <v>35</v>
      </c>
      <c r="D54">
        <v>854</v>
      </c>
    </row>
    <row r="55" spans="1:4" x14ac:dyDescent="0.25">
      <c r="A55" t="s">
        <v>192</v>
      </c>
      <c r="B55" t="s">
        <v>193</v>
      </c>
      <c r="C55">
        <v>40</v>
      </c>
      <c r="D55" s="38">
        <v>1310</v>
      </c>
    </row>
    <row r="56" spans="1:4" x14ac:dyDescent="0.25">
      <c r="A56" t="s">
        <v>192</v>
      </c>
      <c r="B56" t="s">
        <v>193</v>
      </c>
      <c r="C56">
        <v>42</v>
      </c>
      <c r="D56">
        <v>767</v>
      </c>
    </row>
    <row r="57" spans="1:4" x14ac:dyDescent="0.25">
      <c r="A57" t="s">
        <v>192</v>
      </c>
      <c r="B57" t="s">
        <v>193</v>
      </c>
      <c r="C57">
        <v>91</v>
      </c>
      <c r="D57">
        <v>417</v>
      </c>
    </row>
    <row r="58" spans="1:4" x14ac:dyDescent="0.25">
      <c r="A58" t="s">
        <v>192</v>
      </c>
      <c r="B58" t="s">
        <v>193</v>
      </c>
      <c r="C58">
        <v>194</v>
      </c>
      <c r="D58">
        <v>360</v>
      </c>
    </row>
    <row r="59" spans="1:4" x14ac:dyDescent="0.25">
      <c r="A59" t="s">
        <v>59</v>
      </c>
      <c r="B59" t="s">
        <v>60</v>
      </c>
      <c r="C59">
        <v>33</v>
      </c>
      <c r="D59">
        <v>141</v>
      </c>
    </row>
    <row r="60" spans="1:4" x14ac:dyDescent="0.25">
      <c r="A60" t="s">
        <v>59</v>
      </c>
      <c r="B60" t="s">
        <v>60</v>
      </c>
      <c r="C60">
        <v>40</v>
      </c>
      <c r="D60" s="38">
        <v>8919</v>
      </c>
    </row>
    <row r="61" spans="1:4" x14ac:dyDescent="0.25">
      <c r="A61" t="s">
        <v>194</v>
      </c>
      <c r="B61" t="s">
        <v>61</v>
      </c>
      <c r="C61">
        <v>432</v>
      </c>
      <c r="D61" s="38">
        <v>1523</v>
      </c>
    </row>
    <row r="62" spans="1:4" x14ac:dyDescent="0.25">
      <c r="A62" t="s">
        <v>194</v>
      </c>
      <c r="B62" t="s">
        <v>61</v>
      </c>
      <c r="C62">
        <v>456</v>
      </c>
      <c r="D62" s="38">
        <v>9043</v>
      </c>
    </row>
    <row r="63" spans="1:4" x14ac:dyDescent="0.25">
      <c r="A63" t="s">
        <v>194</v>
      </c>
      <c r="B63" t="s">
        <v>61</v>
      </c>
      <c r="C63">
        <v>459</v>
      </c>
      <c r="D63" s="38">
        <v>1915</v>
      </c>
    </row>
    <row r="64" spans="1:4" x14ac:dyDescent="0.25">
      <c r="A64" t="s">
        <v>195</v>
      </c>
      <c r="B64" t="s">
        <v>214</v>
      </c>
      <c r="C64">
        <v>35</v>
      </c>
      <c r="D64" s="38">
        <v>2</v>
      </c>
    </row>
    <row r="65" spans="1:4" x14ac:dyDescent="0.25">
      <c r="A65" t="s">
        <v>195</v>
      </c>
      <c r="B65" t="s">
        <v>214</v>
      </c>
      <c r="C65">
        <v>415</v>
      </c>
      <c r="D65" s="38">
        <v>3688</v>
      </c>
    </row>
    <row r="66" spans="1:4" x14ac:dyDescent="0.25">
      <c r="A66" t="s">
        <v>196</v>
      </c>
      <c r="B66" t="s">
        <v>66</v>
      </c>
      <c r="C66">
        <v>35</v>
      </c>
      <c r="D66" s="38">
        <v>11713</v>
      </c>
    </row>
    <row r="67" spans="1:4" x14ac:dyDescent="0.25">
      <c r="A67" t="s">
        <v>67</v>
      </c>
      <c r="B67" t="s">
        <v>68</v>
      </c>
      <c r="C67">
        <v>35</v>
      </c>
      <c r="D67" s="38">
        <v>3610</v>
      </c>
    </row>
    <row r="68" spans="1:4" x14ac:dyDescent="0.25">
      <c r="A68" t="s">
        <v>67</v>
      </c>
      <c r="B68" t="s">
        <v>68</v>
      </c>
      <c r="C68">
        <v>36</v>
      </c>
      <c r="D68" s="38">
        <v>158</v>
      </c>
    </row>
    <row r="69" spans="1:4" x14ac:dyDescent="0.25">
      <c r="A69" t="s">
        <v>69</v>
      </c>
      <c r="B69" t="s">
        <v>210</v>
      </c>
      <c r="C69">
        <v>33</v>
      </c>
      <c r="D69" s="38">
        <v>90</v>
      </c>
    </row>
    <row r="70" spans="1:4" x14ac:dyDescent="0.25">
      <c r="A70" t="s">
        <v>69</v>
      </c>
      <c r="B70" t="s">
        <v>210</v>
      </c>
      <c r="C70">
        <v>35</v>
      </c>
      <c r="D70" s="38">
        <v>487</v>
      </c>
    </row>
    <row r="71" spans="1:4" x14ac:dyDescent="0.25">
      <c r="A71" t="s">
        <v>69</v>
      </c>
      <c r="B71" t="s">
        <v>210</v>
      </c>
      <c r="C71">
        <v>79</v>
      </c>
      <c r="D71">
        <v>963</v>
      </c>
    </row>
    <row r="72" spans="1:4" x14ac:dyDescent="0.25">
      <c r="A72" t="s">
        <v>69</v>
      </c>
      <c r="B72" t="s">
        <v>210</v>
      </c>
      <c r="C72">
        <v>194</v>
      </c>
      <c r="D72">
        <v>146</v>
      </c>
    </row>
    <row r="73" spans="1:4" x14ac:dyDescent="0.25">
      <c r="A73" t="s">
        <v>197</v>
      </c>
      <c r="B73" t="s">
        <v>71</v>
      </c>
      <c r="C73">
        <v>40</v>
      </c>
      <c r="D73" s="38">
        <v>10997</v>
      </c>
    </row>
    <row r="74" spans="1:4" x14ac:dyDescent="0.25">
      <c r="A74" t="s">
        <v>197</v>
      </c>
      <c r="B74" t="s">
        <v>71</v>
      </c>
      <c r="C74">
        <v>42</v>
      </c>
      <c r="D74" s="38">
        <v>2319</v>
      </c>
    </row>
    <row r="75" spans="1:4" x14ac:dyDescent="0.25">
      <c r="A75" t="s">
        <v>197</v>
      </c>
      <c r="B75" t="s">
        <v>71</v>
      </c>
      <c r="C75">
        <v>416</v>
      </c>
      <c r="D75">
        <v>780</v>
      </c>
    </row>
    <row r="76" spans="1:4" x14ac:dyDescent="0.25">
      <c r="A76" t="s">
        <v>173</v>
      </c>
      <c r="B76" t="s">
        <v>72</v>
      </c>
      <c r="C76">
        <v>194</v>
      </c>
      <c r="D76" s="38">
        <v>11674</v>
      </c>
    </row>
    <row r="77" spans="1:4" x14ac:dyDescent="0.25">
      <c r="A77" t="s">
        <v>198</v>
      </c>
      <c r="B77" t="s">
        <v>73</v>
      </c>
      <c r="C77">
        <v>10</v>
      </c>
      <c r="D77">
        <v>364</v>
      </c>
    </row>
    <row r="78" spans="1:4" x14ac:dyDescent="0.25">
      <c r="A78" t="s">
        <v>198</v>
      </c>
      <c r="B78" t="s">
        <v>73</v>
      </c>
      <c r="C78">
        <v>34</v>
      </c>
      <c r="D78" s="38">
        <v>1636</v>
      </c>
    </row>
    <row r="79" spans="1:4" x14ac:dyDescent="0.25">
      <c r="A79" t="s">
        <v>198</v>
      </c>
      <c r="B79" t="s">
        <v>73</v>
      </c>
      <c r="C79">
        <v>35</v>
      </c>
      <c r="D79">
        <v>833</v>
      </c>
    </row>
    <row r="80" spans="1:4" x14ac:dyDescent="0.25">
      <c r="A80" t="s">
        <v>198</v>
      </c>
      <c r="B80" t="s">
        <v>73</v>
      </c>
      <c r="C80">
        <v>194</v>
      </c>
      <c r="D80">
        <v>875</v>
      </c>
    </row>
    <row r="81" spans="1:9" x14ac:dyDescent="0.25">
      <c r="A81" t="s">
        <v>198</v>
      </c>
      <c r="B81" t="s">
        <v>73</v>
      </c>
      <c r="C81">
        <v>416</v>
      </c>
      <c r="D81" s="38">
        <v>13849</v>
      </c>
    </row>
    <row r="82" spans="1:9" x14ac:dyDescent="0.25">
      <c r="A82" t="s">
        <v>199</v>
      </c>
      <c r="B82" t="s">
        <v>74</v>
      </c>
      <c r="C82">
        <v>35</v>
      </c>
      <c r="D82" s="38">
        <v>33150</v>
      </c>
    </row>
    <row r="83" spans="1:9" x14ac:dyDescent="0.25">
      <c r="A83" t="s">
        <v>199</v>
      </c>
      <c r="B83" t="s">
        <v>74</v>
      </c>
      <c r="C83">
        <v>36</v>
      </c>
      <c r="D83" s="38">
        <v>5653</v>
      </c>
    </row>
    <row r="85" spans="1:9" x14ac:dyDescent="0.25">
      <c r="I85" s="38"/>
    </row>
    <row r="86" spans="1:9" x14ac:dyDescent="0.25">
      <c r="I86" s="38"/>
    </row>
    <row r="87" spans="1:9" x14ac:dyDescent="0.25">
      <c r="I87" s="38"/>
    </row>
    <row r="88" spans="1:9" x14ac:dyDescent="0.25">
      <c r="I88" s="38"/>
    </row>
    <row r="89" spans="1:9" x14ac:dyDescent="0.25">
      <c r="I89" s="3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M24" sqref="M24"/>
    </sheetView>
  </sheetViews>
  <sheetFormatPr defaultRowHeight="15" x14ac:dyDescent="0.25"/>
  <cols>
    <col min="1" max="1" width="37.28515625" bestFit="1" customWidth="1"/>
    <col min="2" max="2" width="4.28515625" bestFit="1" customWidth="1"/>
    <col min="3" max="3" width="4" bestFit="1" customWidth="1"/>
    <col min="4" max="4" width="14.42578125" bestFit="1" customWidth="1"/>
    <col min="5" max="6" width="10.28515625" bestFit="1" customWidth="1"/>
    <col min="7" max="7" width="19.85546875" bestFit="1" customWidth="1"/>
    <col min="8" max="8" width="13.85546875" bestFit="1" customWidth="1"/>
    <col min="9" max="9" width="15.140625" bestFit="1" customWidth="1"/>
    <col min="10" max="10" width="14.85546875" bestFit="1" customWidth="1"/>
    <col min="11" max="11" width="9.85546875" bestFit="1" customWidth="1"/>
    <col min="12" max="12" width="14.7109375" bestFit="1" customWidth="1"/>
    <col min="13" max="13" width="8.7109375" bestFit="1" customWidth="1"/>
  </cols>
  <sheetData>
    <row r="1" spans="1:13" x14ac:dyDescent="0.25">
      <c r="D1" t="s">
        <v>200</v>
      </c>
      <c r="E1" t="s">
        <v>201</v>
      </c>
      <c r="F1" t="s">
        <v>202</v>
      </c>
      <c r="G1" t="s">
        <v>203</v>
      </c>
      <c r="H1" t="s">
        <v>204</v>
      </c>
      <c r="I1" t="s">
        <v>205</v>
      </c>
      <c r="J1" t="s">
        <v>206</v>
      </c>
      <c r="K1" t="s">
        <v>207</v>
      </c>
      <c r="L1" t="s">
        <v>215</v>
      </c>
      <c r="M1" t="s">
        <v>208</v>
      </c>
    </row>
    <row r="2" spans="1:13" x14ac:dyDescent="0.25">
      <c r="A2" t="s">
        <v>44</v>
      </c>
      <c r="B2" t="s">
        <v>45</v>
      </c>
      <c r="C2">
        <v>999</v>
      </c>
      <c r="D2" s="38">
        <v>175268</v>
      </c>
      <c r="E2" s="38">
        <v>133640</v>
      </c>
      <c r="F2" s="38">
        <v>90168</v>
      </c>
      <c r="G2" s="38">
        <v>3980</v>
      </c>
      <c r="H2" s="38">
        <v>25062</v>
      </c>
      <c r="I2" s="38">
        <v>144005</v>
      </c>
      <c r="J2">
        <v>0</v>
      </c>
      <c r="K2" s="38">
        <v>25026</v>
      </c>
      <c r="L2" s="38">
        <v>572123</v>
      </c>
      <c r="M2" s="38">
        <v>1310</v>
      </c>
    </row>
    <row r="3" spans="1:13" x14ac:dyDescent="0.25">
      <c r="A3" t="s">
        <v>182</v>
      </c>
      <c r="B3" t="s">
        <v>46</v>
      </c>
      <c r="C3">
        <v>999</v>
      </c>
      <c r="D3" s="38">
        <v>77209</v>
      </c>
      <c r="E3" s="38">
        <v>65925</v>
      </c>
      <c r="F3" s="38">
        <v>3636</v>
      </c>
      <c r="G3" s="38">
        <v>1956</v>
      </c>
      <c r="H3" s="38">
        <v>8953</v>
      </c>
      <c r="I3" s="38">
        <v>114342</v>
      </c>
      <c r="J3" s="38">
        <v>69362</v>
      </c>
      <c r="K3" s="38">
        <v>18971</v>
      </c>
      <c r="L3" s="38">
        <v>341383</v>
      </c>
      <c r="M3">
        <v>877</v>
      </c>
    </row>
    <row r="4" spans="1:13" x14ac:dyDescent="0.25">
      <c r="A4" t="s">
        <v>183</v>
      </c>
      <c r="B4" t="s">
        <v>184</v>
      </c>
      <c r="C4">
        <v>999</v>
      </c>
      <c r="D4" s="38">
        <v>3674792</v>
      </c>
      <c r="E4" s="38">
        <v>4077967</v>
      </c>
      <c r="F4" s="38">
        <v>449402</v>
      </c>
      <c r="G4" s="38">
        <v>84453</v>
      </c>
      <c r="H4" s="38">
        <v>609091</v>
      </c>
      <c r="I4" s="38">
        <v>8349590</v>
      </c>
      <c r="J4" s="38">
        <v>1169480</v>
      </c>
      <c r="K4" s="38">
        <v>1759800</v>
      </c>
      <c r="L4" s="38">
        <v>18414775</v>
      </c>
      <c r="M4" s="38">
        <v>16173</v>
      </c>
    </row>
    <row r="5" spans="1:13" x14ac:dyDescent="0.25">
      <c r="A5" t="s">
        <v>171</v>
      </c>
      <c r="B5" t="s">
        <v>48</v>
      </c>
      <c r="C5">
        <v>999</v>
      </c>
      <c r="D5" s="38">
        <v>1962210</v>
      </c>
      <c r="E5" s="38">
        <v>3323007</v>
      </c>
      <c r="F5" s="38">
        <v>293563</v>
      </c>
      <c r="G5" s="38">
        <v>258668</v>
      </c>
      <c r="H5" s="38">
        <v>40044</v>
      </c>
      <c r="I5" s="38">
        <v>3399448</v>
      </c>
      <c r="J5" s="38">
        <v>1268060</v>
      </c>
      <c r="K5" s="38">
        <v>673249</v>
      </c>
      <c r="L5" s="38">
        <v>10545000</v>
      </c>
      <c r="M5" s="38">
        <v>9664</v>
      </c>
    </row>
    <row r="6" spans="1:13" x14ac:dyDescent="0.25">
      <c r="A6" t="s">
        <v>49</v>
      </c>
      <c r="B6" t="s">
        <v>50</v>
      </c>
      <c r="C6">
        <v>999</v>
      </c>
      <c r="D6" s="38">
        <v>3526971</v>
      </c>
      <c r="E6" s="38">
        <v>6581746</v>
      </c>
      <c r="F6" s="38">
        <v>282148</v>
      </c>
      <c r="G6" s="38">
        <v>34163</v>
      </c>
      <c r="H6" s="38">
        <v>239125</v>
      </c>
      <c r="I6" s="38">
        <v>5689965</v>
      </c>
      <c r="J6" s="38">
        <v>4536940</v>
      </c>
      <c r="K6" s="38">
        <v>1212935</v>
      </c>
      <c r="L6" s="38">
        <v>20891058</v>
      </c>
      <c r="M6" s="38">
        <v>17637</v>
      </c>
    </row>
    <row r="7" spans="1:13" x14ac:dyDescent="0.25">
      <c r="A7" t="s">
        <v>216</v>
      </c>
      <c r="B7" t="s">
        <v>65</v>
      </c>
      <c r="C7">
        <v>999</v>
      </c>
      <c r="D7" s="38">
        <v>38219</v>
      </c>
      <c r="E7" s="38">
        <v>14484</v>
      </c>
      <c r="F7" s="38">
        <v>12440</v>
      </c>
      <c r="G7" s="38">
        <v>1495</v>
      </c>
      <c r="H7" s="38">
        <v>15205</v>
      </c>
      <c r="I7" s="38">
        <v>173705</v>
      </c>
      <c r="J7" s="38">
        <v>116827</v>
      </c>
      <c r="K7" s="38">
        <v>3853</v>
      </c>
      <c r="L7" s="38">
        <v>372375</v>
      </c>
      <c r="M7">
        <v>152</v>
      </c>
    </row>
    <row r="8" spans="1:13" x14ac:dyDescent="0.25">
      <c r="A8" t="s">
        <v>185</v>
      </c>
      <c r="B8" t="s">
        <v>51</v>
      </c>
      <c r="C8">
        <v>999</v>
      </c>
      <c r="D8" s="38">
        <v>7715335</v>
      </c>
      <c r="E8" s="38">
        <v>7359606</v>
      </c>
      <c r="F8" s="38">
        <v>302988</v>
      </c>
      <c r="G8" s="38">
        <v>106762</v>
      </c>
      <c r="H8" s="38">
        <v>397647</v>
      </c>
      <c r="I8" s="38">
        <v>20596939</v>
      </c>
      <c r="J8" s="38">
        <v>7166954</v>
      </c>
      <c r="K8" s="38">
        <v>4018975</v>
      </c>
      <c r="L8" s="38">
        <v>43646231</v>
      </c>
      <c r="M8" s="38">
        <v>23883</v>
      </c>
    </row>
    <row r="9" spans="1:13" x14ac:dyDescent="0.25">
      <c r="A9" t="s">
        <v>186</v>
      </c>
      <c r="B9" t="s">
        <v>187</v>
      </c>
      <c r="C9">
        <v>999</v>
      </c>
      <c r="D9" s="38">
        <v>296675</v>
      </c>
      <c r="E9" s="38">
        <v>252734</v>
      </c>
      <c r="F9" s="38">
        <v>15024</v>
      </c>
      <c r="G9" s="38">
        <v>7482</v>
      </c>
      <c r="H9">
        <v>0</v>
      </c>
      <c r="I9" s="38">
        <v>118682</v>
      </c>
      <c r="J9" s="38">
        <v>216000</v>
      </c>
      <c r="K9" s="38">
        <v>83486</v>
      </c>
      <c r="L9" s="38">
        <v>906597</v>
      </c>
      <c r="M9">
        <v>517</v>
      </c>
    </row>
    <row r="10" spans="1:13" x14ac:dyDescent="0.25">
      <c r="A10" t="s">
        <v>52</v>
      </c>
      <c r="B10" t="s">
        <v>53</v>
      </c>
      <c r="C10">
        <v>999</v>
      </c>
      <c r="D10" s="38">
        <v>4791889</v>
      </c>
      <c r="E10" s="38">
        <v>5168672</v>
      </c>
      <c r="F10" s="38">
        <v>632027</v>
      </c>
      <c r="G10" s="38">
        <v>36353</v>
      </c>
      <c r="H10" s="38">
        <v>81886</v>
      </c>
      <c r="I10" s="38">
        <v>7021134</v>
      </c>
      <c r="J10" s="38">
        <v>3640904</v>
      </c>
      <c r="K10" s="38">
        <v>1137553</v>
      </c>
      <c r="L10" s="38">
        <v>21372865</v>
      </c>
      <c r="M10" s="38">
        <v>28425</v>
      </c>
    </row>
    <row r="11" spans="1:13" x14ac:dyDescent="0.25">
      <c r="A11" t="s">
        <v>188</v>
      </c>
      <c r="B11" t="s">
        <v>54</v>
      </c>
      <c r="C11">
        <v>999</v>
      </c>
      <c r="D11" s="38">
        <v>9076062</v>
      </c>
      <c r="E11" s="38">
        <v>17868698</v>
      </c>
      <c r="F11" s="38">
        <v>1256399</v>
      </c>
      <c r="G11" s="38">
        <v>272438</v>
      </c>
      <c r="H11" s="38">
        <v>554050</v>
      </c>
      <c r="I11" s="38">
        <v>19635424</v>
      </c>
      <c r="J11" s="38">
        <v>8322000</v>
      </c>
      <c r="K11" s="38">
        <v>3647997</v>
      </c>
      <c r="L11" s="38">
        <v>56985071</v>
      </c>
      <c r="M11" s="38">
        <v>66290</v>
      </c>
    </row>
    <row r="12" spans="1:13" x14ac:dyDescent="0.25">
      <c r="A12" t="s">
        <v>55</v>
      </c>
      <c r="B12" t="s">
        <v>56</v>
      </c>
      <c r="C12">
        <v>999</v>
      </c>
      <c r="D12" s="38">
        <v>308231</v>
      </c>
      <c r="E12" s="38">
        <v>902553</v>
      </c>
      <c r="F12" s="38">
        <v>141560</v>
      </c>
      <c r="G12" s="38">
        <v>15644</v>
      </c>
      <c r="H12" s="38">
        <v>109172</v>
      </c>
      <c r="I12" s="38">
        <v>389345</v>
      </c>
      <c r="J12">
        <v>0</v>
      </c>
      <c r="K12" s="38">
        <v>147087</v>
      </c>
      <c r="L12" s="38">
        <v>1866505</v>
      </c>
      <c r="M12" s="38">
        <v>2815</v>
      </c>
    </row>
    <row r="13" spans="1:13" x14ac:dyDescent="0.25">
      <c r="A13" t="s">
        <v>57</v>
      </c>
      <c r="B13" t="s">
        <v>58</v>
      </c>
      <c r="C13">
        <v>999</v>
      </c>
      <c r="D13" s="38">
        <v>592005</v>
      </c>
      <c r="E13" s="38">
        <v>517183</v>
      </c>
      <c r="F13" s="38">
        <v>62443</v>
      </c>
      <c r="G13" s="38">
        <v>24707</v>
      </c>
      <c r="H13" s="38">
        <v>39311</v>
      </c>
      <c r="I13" s="38">
        <v>508617</v>
      </c>
      <c r="J13" s="38">
        <v>231026</v>
      </c>
      <c r="K13" s="38">
        <v>106374</v>
      </c>
      <c r="L13" s="38">
        <v>1975292</v>
      </c>
      <c r="M13" s="38">
        <v>5175</v>
      </c>
    </row>
    <row r="14" spans="1:13" x14ac:dyDescent="0.25">
      <c r="A14" t="s">
        <v>191</v>
      </c>
      <c r="B14" t="s">
        <v>47</v>
      </c>
      <c r="C14">
        <v>999</v>
      </c>
      <c r="D14" s="38">
        <v>1001602</v>
      </c>
      <c r="E14" s="38">
        <v>1176044</v>
      </c>
      <c r="F14" s="38">
        <v>45152</v>
      </c>
      <c r="G14" s="38">
        <v>26096</v>
      </c>
      <c r="H14" s="38">
        <v>114339</v>
      </c>
      <c r="I14" s="38">
        <v>1454883</v>
      </c>
      <c r="J14" s="38">
        <v>910993</v>
      </c>
      <c r="K14" s="38">
        <v>361782</v>
      </c>
      <c r="L14" s="38">
        <v>4729109</v>
      </c>
      <c r="M14" s="38">
        <v>12440</v>
      </c>
    </row>
    <row r="15" spans="1:13" x14ac:dyDescent="0.25">
      <c r="A15" t="s">
        <v>192</v>
      </c>
      <c r="B15" t="s">
        <v>193</v>
      </c>
      <c r="C15">
        <v>999</v>
      </c>
      <c r="D15" s="38">
        <v>305640</v>
      </c>
      <c r="E15" s="38">
        <v>407300</v>
      </c>
      <c r="F15" s="38">
        <v>45541</v>
      </c>
      <c r="G15" s="38">
        <v>12297</v>
      </c>
      <c r="H15" s="38">
        <v>83731</v>
      </c>
      <c r="I15" s="38">
        <v>409721</v>
      </c>
      <c r="J15" s="38">
        <v>399037</v>
      </c>
      <c r="K15" s="38">
        <v>78525</v>
      </c>
      <c r="L15" s="38">
        <v>1663267</v>
      </c>
      <c r="M15" s="38">
        <v>2460</v>
      </c>
    </row>
    <row r="16" spans="1:13" x14ac:dyDescent="0.25">
      <c r="A16" t="s">
        <v>59</v>
      </c>
      <c r="B16" t="s">
        <v>60</v>
      </c>
      <c r="C16">
        <v>999</v>
      </c>
      <c r="D16" s="38">
        <v>433084</v>
      </c>
      <c r="E16" s="38">
        <v>348362</v>
      </c>
      <c r="F16" s="38">
        <v>44321</v>
      </c>
      <c r="G16" s="38">
        <v>6602</v>
      </c>
      <c r="H16" s="38">
        <v>43379</v>
      </c>
      <c r="I16" s="38">
        <v>537785</v>
      </c>
      <c r="J16" s="38">
        <v>146735</v>
      </c>
      <c r="K16" s="38">
        <v>100554</v>
      </c>
      <c r="L16" s="38">
        <v>1560268</v>
      </c>
      <c r="M16" s="38">
        <v>4220</v>
      </c>
    </row>
    <row r="17" spans="1:13" x14ac:dyDescent="0.25">
      <c r="A17" t="s">
        <v>194</v>
      </c>
      <c r="B17" t="s">
        <v>61</v>
      </c>
      <c r="C17">
        <v>999</v>
      </c>
      <c r="D17" s="38">
        <v>12522313</v>
      </c>
      <c r="E17" s="38">
        <v>11496862</v>
      </c>
      <c r="F17" s="38">
        <v>329435</v>
      </c>
      <c r="G17" s="38">
        <v>218561</v>
      </c>
      <c r="H17" s="38">
        <v>488921</v>
      </c>
      <c r="I17" s="38">
        <v>30757685</v>
      </c>
      <c r="J17" s="38">
        <v>7945453</v>
      </c>
      <c r="K17" s="38">
        <v>5174551</v>
      </c>
      <c r="L17" s="38">
        <v>63759230</v>
      </c>
      <c r="M17" s="38">
        <v>32326</v>
      </c>
    </row>
    <row r="18" spans="1:13" x14ac:dyDescent="0.25">
      <c r="A18" t="s">
        <v>62</v>
      </c>
      <c r="B18" t="s">
        <v>63</v>
      </c>
      <c r="C18">
        <v>999</v>
      </c>
      <c r="D18" s="38">
        <v>90433</v>
      </c>
      <c r="E18" s="38">
        <v>108760</v>
      </c>
      <c r="F18" s="38">
        <v>53960</v>
      </c>
      <c r="G18" s="38">
        <v>18164</v>
      </c>
      <c r="H18" s="38">
        <v>33679</v>
      </c>
      <c r="I18" s="38">
        <v>506572</v>
      </c>
      <c r="J18" s="38">
        <v>158807</v>
      </c>
      <c r="K18" s="38">
        <v>23871</v>
      </c>
      <c r="L18" s="38">
        <v>970375</v>
      </c>
      <c r="M18">
        <v>471</v>
      </c>
    </row>
    <row r="19" spans="1:13" x14ac:dyDescent="0.25">
      <c r="A19" t="s">
        <v>195</v>
      </c>
      <c r="B19" t="s">
        <v>214</v>
      </c>
      <c r="C19">
        <v>999</v>
      </c>
      <c r="D19" s="38">
        <v>431485</v>
      </c>
      <c r="E19" s="38">
        <v>305671</v>
      </c>
      <c r="F19" s="38">
        <v>101251</v>
      </c>
      <c r="G19" s="38">
        <v>3577</v>
      </c>
      <c r="H19" s="38">
        <v>39287</v>
      </c>
      <c r="I19" s="38">
        <v>794171</v>
      </c>
      <c r="J19" s="38">
        <v>538269</v>
      </c>
      <c r="K19" s="38">
        <v>126742</v>
      </c>
      <c r="L19" s="38">
        <v>2213711</v>
      </c>
      <c r="M19" s="38">
        <v>2537</v>
      </c>
    </row>
    <row r="20" spans="1:13" x14ac:dyDescent="0.25">
      <c r="A20" t="s">
        <v>196</v>
      </c>
      <c r="B20" t="s">
        <v>66</v>
      </c>
      <c r="C20">
        <v>999</v>
      </c>
      <c r="D20" s="38">
        <v>390455</v>
      </c>
      <c r="E20" s="38">
        <v>185132</v>
      </c>
      <c r="F20" s="38">
        <v>20778</v>
      </c>
      <c r="G20" s="38">
        <v>18172</v>
      </c>
      <c r="H20" s="38">
        <v>47593</v>
      </c>
      <c r="I20" s="38">
        <v>373330</v>
      </c>
      <c r="J20" s="38">
        <v>32760</v>
      </c>
      <c r="K20" s="38">
        <v>52753</v>
      </c>
      <c r="L20" s="38">
        <v>1068220</v>
      </c>
      <c r="M20" s="38">
        <v>3353</v>
      </c>
    </row>
    <row r="21" spans="1:13" x14ac:dyDescent="0.25">
      <c r="A21" t="s">
        <v>67</v>
      </c>
      <c r="B21" t="s">
        <v>68</v>
      </c>
      <c r="C21">
        <v>999</v>
      </c>
      <c r="D21" s="38">
        <v>299806</v>
      </c>
      <c r="E21" s="38">
        <v>160947</v>
      </c>
      <c r="F21" s="38">
        <v>40787</v>
      </c>
      <c r="G21" s="38">
        <v>77864</v>
      </c>
      <c r="H21" s="38">
        <v>104148</v>
      </c>
      <c r="I21" s="38">
        <v>158207</v>
      </c>
      <c r="J21" s="38">
        <v>60419</v>
      </c>
      <c r="K21" s="38">
        <v>41128</v>
      </c>
      <c r="L21" s="38">
        <v>902178</v>
      </c>
      <c r="M21" s="38">
        <v>3227</v>
      </c>
    </row>
    <row r="22" spans="1:13" x14ac:dyDescent="0.25">
      <c r="A22" t="s">
        <v>69</v>
      </c>
      <c r="B22" t="s">
        <v>210</v>
      </c>
      <c r="C22">
        <v>999</v>
      </c>
      <c r="D22" s="38">
        <v>51151</v>
      </c>
      <c r="E22" s="38">
        <v>163104</v>
      </c>
      <c r="F22" s="38">
        <v>61603</v>
      </c>
      <c r="G22" s="38">
        <v>22795</v>
      </c>
      <c r="H22" s="38">
        <v>38808</v>
      </c>
      <c r="I22" s="38">
        <v>56224</v>
      </c>
      <c r="J22" s="38">
        <v>21483</v>
      </c>
      <c r="K22" s="38">
        <v>13048</v>
      </c>
      <c r="L22" s="38">
        <v>415168</v>
      </c>
      <c r="M22">
        <v>597</v>
      </c>
    </row>
    <row r="23" spans="1:13" x14ac:dyDescent="0.25">
      <c r="A23" t="s">
        <v>197</v>
      </c>
      <c r="B23" t="s">
        <v>71</v>
      </c>
      <c r="C23">
        <v>999</v>
      </c>
      <c r="D23" s="38">
        <v>1432497</v>
      </c>
      <c r="E23" s="38">
        <v>962603</v>
      </c>
      <c r="F23" s="38">
        <v>106277</v>
      </c>
      <c r="G23" s="38">
        <v>3696</v>
      </c>
      <c r="H23" s="38">
        <v>70852</v>
      </c>
      <c r="I23" s="38">
        <v>1832824</v>
      </c>
      <c r="J23" s="38">
        <v>840832</v>
      </c>
      <c r="K23" s="38">
        <v>283359</v>
      </c>
      <c r="L23" s="38">
        <v>5249581</v>
      </c>
      <c r="M23" s="38">
        <v>9161</v>
      </c>
    </row>
    <row r="24" spans="1:13" x14ac:dyDescent="0.25">
      <c r="A24" t="s">
        <v>173</v>
      </c>
      <c r="B24" t="s">
        <v>72</v>
      </c>
      <c r="C24">
        <v>999</v>
      </c>
      <c r="D24" s="38">
        <v>1027408</v>
      </c>
      <c r="E24" s="38">
        <v>1808008</v>
      </c>
      <c r="F24" s="38">
        <v>217486</v>
      </c>
      <c r="G24">
        <v>0</v>
      </c>
      <c r="H24" s="38">
        <v>5724</v>
      </c>
      <c r="I24" s="38">
        <v>2708865</v>
      </c>
      <c r="J24" s="38">
        <v>863200</v>
      </c>
      <c r="K24" s="38">
        <v>521165</v>
      </c>
      <c r="L24" s="38">
        <v>6630691</v>
      </c>
      <c r="M24" s="38">
        <v>12172</v>
      </c>
    </row>
    <row r="25" spans="1:13" x14ac:dyDescent="0.25">
      <c r="A25" t="s">
        <v>198</v>
      </c>
      <c r="B25" t="s">
        <v>73</v>
      </c>
      <c r="C25">
        <v>999</v>
      </c>
      <c r="D25" s="38">
        <v>2000249</v>
      </c>
      <c r="E25" s="38">
        <v>1689509</v>
      </c>
      <c r="F25" s="38">
        <v>201649</v>
      </c>
      <c r="G25" s="38">
        <v>23375</v>
      </c>
      <c r="H25" s="38">
        <v>129118</v>
      </c>
      <c r="I25" s="38">
        <v>3990708</v>
      </c>
      <c r="J25" s="38">
        <v>2279030</v>
      </c>
      <c r="K25" s="38">
        <v>773079</v>
      </c>
      <c r="L25" s="38">
        <v>10313638</v>
      </c>
      <c r="M25" s="38">
        <v>17974</v>
      </c>
    </row>
    <row r="26" spans="1:13" x14ac:dyDescent="0.25">
      <c r="A26" t="s">
        <v>199</v>
      </c>
      <c r="B26" t="s">
        <v>74</v>
      </c>
      <c r="C26">
        <v>999</v>
      </c>
      <c r="D26" s="38">
        <v>1400162</v>
      </c>
      <c r="E26" s="38">
        <v>1151479</v>
      </c>
      <c r="F26" s="38">
        <v>49023</v>
      </c>
      <c r="G26" s="38">
        <v>18900</v>
      </c>
      <c r="H26" s="38">
        <v>80400</v>
      </c>
      <c r="I26" s="38">
        <v>1342184</v>
      </c>
      <c r="J26" s="38">
        <v>297000</v>
      </c>
      <c r="K26" s="38">
        <v>186308</v>
      </c>
      <c r="L26" s="38">
        <v>4339148</v>
      </c>
      <c r="M26" s="38">
        <v>13411</v>
      </c>
    </row>
  </sheetData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sqref="A1:H28"/>
    </sheetView>
  </sheetViews>
  <sheetFormatPr defaultRowHeight="15" x14ac:dyDescent="0.25"/>
  <cols>
    <col min="1" max="1" width="37.28515625" bestFit="1" customWidth="1"/>
    <col min="4" max="4" width="9.85546875" bestFit="1" customWidth="1"/>
    <col min="5" max="5" width="19" bestFit="1" customWidth="1"/>
    <col min="6" max="6" width="17" bestFit="1" customWidth="1"/>
    <col min="8" max="8" width="9.85546875" bestFit="1" customWidth="1"/>
  </cols>
  <sheetData>
    <row r="1" spans="1:8" x14ac:dyDescent="0.25">
      <c r="C1" t="s">
        <v>176</v>
      </c>
      <c r="D1" t="s">
        <v>177</v>
      </c>
      <c r="E1" t="s">
        <v>178</v>
      </c>
      <c r="F1" t="s">
        <v>179</v>
      </c>
      <c r="G1" t="s">
        <v>180</v>
      </c>
      <c r="H1" t="s">
        <v>181</v>
      </c>
    </row>
    <row r="2" spans="1:8" x14ac:dyDescent="0.25">
      <c r="A2" t="s">
        <v>44</v>
      </c>
      <c r="B2" t="s">
        <v>45</v>
      </c>
      <c r="C2">
        <v>0</v>
      </c>
      <c r="D2" s="38">
        <v>58130</v>
      </c>
      <c r="E2" s="38">
        <v>51205</v>
      </c>
      <c r="F2" s="38">
        <v>85696</v>
      </c>
      <c r="G2" s="38">
        <v>78654</v>
      </c>
      <c r="H2" s="38">
        <v>195031</v>
      </c>
    </row>
    <row r="3" spans="1:8" x14ac:dyDescent="0.25">
      <c r="A3" t="s">
        <v>182</v>
      </c>
      <c r="B3" t="s">
        <v>46</v>
      </c>
      <c r="C3">
        <v>0</v>
      </c>
      <c r="D3" s="38">
        <v>18034</v>
      </c>
      <c r="E3" s="38">
        <v>108819</v>
      </c>
      <c r="F3" s="38">
        <v>203962</v>
      </c>
      <c r="G3" s="38">
        <v>4800</v>
      </c>
      <c r="H3" s="38">
        <v>330815</v>
      </c>
    </row>
    <row r="4" spans="1:8" x14ac:dyDescent="0.25">
      <c r="A4" t="s">
        <v>183</v>
      </c>
      <c r="B4" t="s">
        <v>184</v>
      </c>
      <c r="C4">
        <v>0</v>
      </c>
      <c r="D4" s="38">
        <v>1233427</v>
      </c>
      <c r="E4" s="38">
        <v>3666990</v>
      </c>
      <c r="F4" s="38">
        <v>3430310</v>
      </c>
      <c r="G4">
        <v>0</v>
      </c>
      <c r="H4" s="38">
        <v>8330727</v>
      </c>
    </row>
    <row r="5" spans="1:8" x14ac:dyDescent="0.25">
      <c r="A5" t="s">
        <v>171</v>
      </c>
      <c r="B5" t="s">
        <v>48</v>
      </c>
      <c r="C5">
        <v>0</v>
      </c>
      <c r="D5" s="38">
        <v>17455</v>
      </c>
      <c r="E5" s="38">
        <v>3215213</v>
      </c>
      <c r="F5" s="38">
        <v>2912832</v>
      </c>
      <c r="G5" s="38">
        <v>1564269</v>
      </c>
      <c r="H5" s="38">
        <v>6145500</v>
      </c>
    </row>
    <row r="6" spans="1:8" x14ac:dyDescent="0.25">
      <c r="A6" t="s">
        <v>49</v>
      </c>
      <c r="B6" t="s">
        <v>50</v>
      </c>
      <c r="C6">
        <v>0</v>
      </c>
      <c r="D6" s="38">
        <v>2480746</v>
      </c>
      <c r="E6" s="38">
        <v>3246437</v>
      </c>
      <c r="F6" s="38">
        <v>2064438</v>
      </c>
      <c r="G6">
        <v>0</v>
      </c>
      <c r="H6" s="38">
        <v>7791621</v>
      </c>
    </row>
    <row r="7" spans="1:8" x14ac:dyDescent="0.25">
      <c r="A7" t="s">
        <v>216</v>
      </c>
      <c r="B7" t="s">
        <v>65</v>
      </c>
      <c r="C7">
        <v>0</v>
      </c>
      <c r="D7">
        <v>0</v>
      </c>
      <c r="E7" s="38">
        <v>11288</v>
      </c>
      <c r="F7" s="38">
        <v>883643</v>
      </c>
      <c r="G7">
        <v>0</v>
      </c>
      <c r="H7" s="38">
        <v>894931</v>
      </c>
    </row>
    <row r="8" spans="1:8" x14ac:dyDescent="0.25">
      <c r="A8" t="s">
        <v>185</v>
      </c>
      <c r="B8" t="s">
        <v>51</v>
      </c>
      <c r="C8" s="38">
        <v>1354987</v>
      </c>
      <c r="D8" s="38">
        <v>8070824</v>
      </c>
      <c r="E8" s="38">
        <v>8169669</v>
      </c>
      <c r="F8" s="38">
        <v>12027684</v>
      </c>
      <c r="G8" s="38">
        <v>1309065</v>
      </c>
      <c r="H8" s="38">
        <v>29623164</v>
      </c>
    </row>
    <row r="9" spans="1:8" x14ac:dyDescent="0.25">
      <c r="A9" t="s">
        <v>186</v>
      </c>
      <c r="B9" t="s">
        <v>187</v>
      </c>
      <c r="C9">
        <v>0</v>
      </c>
      <c r="D9">
        <v>0</v>
      </c>
      <c r="E9" s="38">
        <v>6069</v>
      </c>
      <c r="F9" s="38">
        <v>7710</v>
      </c>
      <c r="G9">
        <v>0</v>
      </c>
      <c r="H9" s="38">
        <v>13779</v>
      </c>
    </row>
    <row r="10" spans="1:8" x14ac:dyDescent="0.25">
      <c r="A10" t="s">
        <v>52</v>
      </c>
      <c r="B10" t="s">
        <v>53</v>
      </c>
      <c r="C10">
        <v>0</v>
      </c>
      <c r="D10" s="38">
        <v>1388178</v>
      </c>
      <c r="E10" s="38">
        <v>6923950</v>
      </c>
      <c r="F10" s="38">
        <v>3222626</v>
      </c>
      <c r="G10">
        <v>0</v>
      </c>
      <c r="H10" s="38">
        <v>11534754</v>
      </c>
    </row>
    <row r="11" spans="1:8" x14ac:dyDescent="0.25">
      <c r="A11" t="s">
        <v>188</v>
      </c>
      <c r="B11" t="s">
        <v>54</v>
      </c>
      <c r="C11">
        <v>0</v>
      </c>
      <c r="D11" s="38">
        <v>2790000</v>
      </c>
      <c r="E11" s="38">
        <v>13124581</v>
      </c>
      <c r="F11" s="38">
        <v>8833890</v>
      </c>
      <c r="G11" s="38">
        <v>167933</v>
      </c>
      <c r="H11" s="38">
        <v>24748471</v>
      </c>
    </row>
    <row r="12" spans="1:8" x14ac:dyDescent="0.25">
      <c r="A12" t="s">
        <v>189</v>
      </c>
      <c r="B12" t="s">
        <v>190</v>
      </c>
      <c r="C12">
        <v>0</v>
      </c>
      <c r="D12" s="38">
        <v>2600</v>
      </c>
      <c r="E12" s="38">
        <v>4077</v>
      </c>
      <c r="F12" s="38">
        <v>15240</v>
      </c>
      <c r="G12" s="38">
        <v>1230</v>
      </c>
      <c r="H12" s="38">
        <v>21917</v>
      </c>
    </row>
    <row r="13" spans="1:8" x14ac:dyDescent="0.25">
      <c r="A13" t="s">
        <v>55</v>
      </c>
      <c r="B13" t="s">
        <v>56</v>
      </c>
      <c r="C13">
        <v>0</v>
      </c>
      <c r="D13" s="38">
        <v>87297</v>
      </c>
      <c r="E13" s="38">
        <v>88824</v>
      </c>
      <c r="F13" s="38">
        <v>87927</v>
      </c>
      <c r="G13">
        <v>0</v>
      </c>
      <c r="H13" s="38">
        <v>264048</v>
      </c>
    </row>
    <row r="14" spans="1:8" x14ac:dyDescent="0.25">
      <c r="A14" t="s">
        <v>57</v>
      </c>
      <c r="B14" t="s">
        <v>58</v>
      </c>
      <c r="C14">
        <v>0</v>
      </c>
      <c r="D14" s="38">
        <v>150771</v>
      </c>
      <c r="E14" s="38">
        <v>496016</v>
      </c>
      <c r="F14" s="38">
        <v>439176</v>
      </c>
      <c r="G14">
        <v>53</v>
      </c>
      <c r="H14" s="38">
        <v>1085963</v>
      </c>
    </row>
    <row r="15" spans="1:8" x14ac:dyDescent="0.25">
      <c r="A15" t="s">
        <v>191</v>
      </c>
      <c r="B15" t="s">
        <v>47</v>
      </c>
      <c r="C15">
        <v>0</v>
      </c>
      <c r="D15" s="38">
        <v>218016</v>
      </c>
      <c r="E15" s="38">
        <v>1327130</v>
      </c>
      <c r="F15" s="38">
        <v>2186044</v>
      </c>
      <c r="G15" s="38">
        <v>61736</v>
      </c>
      <c r="H15" s="38">
        <v>3731190</v>
      </c>
    </row>
    <row r="16" spans="1:8" x14ac:dyDescent="0.25">
      <c r="A16" t="s">
        <v>192</v>
      </c>
      <c r="B16" t="s">
        <v>193</v>
      </c>
      <c r="C16">
        <v>0</v>
      </c>
      <c r="D16" s="38">
        <v>484674</v>
      </c>
      <c r="E16" s="38">
        <v>266974</v>
      </c>
      <c r="F16" s="38">
        <v>17139</v>
      </c>
      <c r="G16" s="38">
        <v>83609</v>
      </c>
      <c r="H16" s="38">
        <v>768787</v>
      </c>
    </row>
    <row r="17" spans="1:8" x14ac:dyDescent="0.25">
      <c r="A17" t="s">
        <v>59</v>
      </c>
      <c r="B17" t="s">
        <v>60</v>
      </c>
      <c r="C17">
        <v>0</v>
      </c>
      <c r="D17" s="38">
        <v>126616</v>
      </c>
      <c r="E17" s="38">
        <v>475289</v>
      </c>
      <c r="F17" s="38">
        <v>431419</v>
      </c>
      <c r="G17" s="38">
        <v>180628</v>
      </c>
      <c r="H17" s="38">
        <v>1033324</v>
      </c>
    </row>
    <row r="18" spans="1:8" x14ac:dyDescent="0.25">
      <c r="A18" t="s">
        <v>194</v>
      </c>
      <c r="B18" t="s">
        <v>61</v>
      </c>
      <c r="C18" s="38">
        <v>2155300</v>
      </c>
      <c r="D18" s="38">
        <v>10148873</v>
      </c>
      <c r="E18" s="38">
        <v>11204527</v>
      </c>
      <c r="F18" s="38">
        <v>9115847</v>
      </c>
      <c r="G18" s="38">
        <v>1456504</v>
      </c>
      <c r="H18" s="38">
        <v>32624547</v>
      </c>
    </row>
    <row r="19" spans="1:8" x14ac:dyDescent="0.25">
      <c r="A19" t="s">
        <v>62</v>
      </c>
      <c r="B19" t="s">
        <v>63</v>
      </c>
      <c r="C19">
        <v>0</v>
      </c>
      <c r="D19" s="38">
        <v>173353</v>
      </c>
      <c r="E19" s="38">
        <v>232349</v>
      </c>
      <c r="F19" s="38">
        <v>167877</v>
      </c>
      <c r="G19">
        <v>0</v>
      </c>
      <c r="H19" s="38">
        <v>573579</v>
      </c>
    </row>
    <row r="20" spans="1:8" x14ac:dyDescent="0.25">
      <c r="A20" t="s">
        <v>195</v>
      </c>
      <c r="B20" t="s">
        <v>214</v>
      </c>
      <c r="C20">
        <v>0</v>
      </c>
      <c r="D20" s="38">
        <v>30396</v>
      </c>
      <c r="E20" s="38">
        <v>513933</v>
      </c>
      <c r="F20" s="38">
        <v>1267692</v>
      </c>
      <c r="G20">
        <v>0</v>
      </c>
      <c r="H20" s="38">
        <v>1812021</v>
      </c>
    </row>
    <row r="21" spans="1:8" x14ac:dyDescent="0.25">
      <c r="A21" t="s">
        <v>217</v>
      </c>
      <c r="B21" t="s">
        <v>64</v>
      </c>
      <c r="C21">
        <v>0</v>
      </c>
      <c r="D21" s="38">
        <v>417846</v>
      </c>
      <c r="E21" s="38">
        <v>1044706</v>
      </c>
      <c r="F21" s="38">
        <v>723736</v>
      </c>
      <c r="G21" s="38">
        <v>3243</v>
      </c>
      <c r="H21" s="38">
        <v>2186288</v>
      </c>
    </row>
    <row r="22" spans="1:8" x14ac:dyDescent="0.25">
      <c r="A22" t="s">
        <v>196</v>
      </c>
      <c r="B22" t="s">
        <v>66</v>
      </c>
      <c r="C22">
        <v>0</v>
      </c>
      <c r="D22" s="38">
        <v>201284</v>
      </c>
      <c r="E22" s="38">
        <v>362640</v>
      </c>
      <c r="F22" s="38">
        <v>101724</v>
      </c>
      <c r="G22" s="38">
        <v>16312</v>
      </c>
      <c r="H22" s="38">
        <v>665648</v>
      </c>
    </row>
    <row r="23" spans="1:8" x14ac:dyDescent="0.25">
      <c r="A23" t="s">
        <v>67</v>
      </c>
      <c r="B23" t="s">
        <v>68</v>
      </c>
      <c r="C23">
        <v>0</v>
      </c>
      <c r="D23" s="38">
        <v>18920</v>
      </c>
      <c r="E23" s="38">
        <v>107777</v>
      </c>
      <c r="F23" s="38">
        <v>258380</v>
      </c>
      <c r="G23" s="38">
        <v>209003</v>
      </c>
      <c r="H23" s="38">
        <v>385077</v>
      </c>
    </row>
    <row r="24" spans="1:8" x14ac:dyDescent="0.25">
      <c r="A24" t="s">
        <v>69</v>
      </c>
      <c r="B24" t="s">
        <v>210</v>
      </c>
      <c r="C24">
        <v>0</v>
      </c>
      <c r="D24" s="38">
        <v>32234</v>
      </c>
      <c r="E24" s="38">
        <v>128400</v>
      </c>
      <c r="F24" s="38">
        <v>51686</v>
      </c>
      <c r="G24" s="38">
        <v>7937</v>
      </c>
      <c r="H24" s="38">
        <v>212320</v>
      </c>
    </row>
    <row r="25" spans="1:8" x14ac:dyDescent="0.25">
      <c r="A25" t="s">
        <v>197</v>
      </c>
      <c r="B25" t="s">
        <v>71</v>
      </c>
      <c r="C25">
        <v>0</v>
      </c>
      <c r="D25" s="38">
        <v>852550</v>
      </c>
      <c r="E25" s="38">
        <v>1032592</v>
      </c>
      <c r="F25" s="38">
        <v>695520</v>
      </c>
      <c r="G25" s="38">
        <v>45611</v>
      </c>
      <c r="H25" s="38">
        <v>2580662</v>
      </c>
    </row>
    <row r="26" spans="1:8" x14ac:dyDescent="0.25">
      <c r="A26" t="s">
        <v>173</v>
      </c>
      <c r="B26" t="s">
        <v>72</v>
      </c>
      <c r="C26">
        <v>0</v>
      </c>
      <c r="D26" s="38">
        <v>383169</v>
      </c>
      <c r="E26" s="38">
        <v>500066</v>
      </c>
      <c r="F26" s="38">
        <v>263184</v>
      </c>
      <c r="G26">
        <v>0</v>
      </c>
      <c r="H26" s="38">
        <v>1146419</v>
      </c>
    </row>
    <row r="27" spans="1:8" x14ac:dyDescent="0.25">
      <c r="A27" t="s">
        <v>198</v>
      </c>
      <c r="B27" t="s">
        <v>73</v>
      </c>
      <c r="C27">
        <v>0</v>
      </c>
      <c r="D27" s="38">
        <v>799629</v>
      </c>
      <c r="E27" s="38">
        <v>1894169</v>
      </c>
      <c r="F27" s="38">
        <v>2735722</v>
      </c>
      <c r="G27">
        <v>0</v>
      </c>
      <c r="H27" s="38">
        <v>5429520</v>
      </c>
    </row>
    <row r="28" spans="1:8" x14ac:dyDescent="0.25">
      <c r="A28" t="s">
        <v>199</v>
      </c>
      <c r="B28" t="s">
        <v>74</v>
      </c>
      <c r="C28">
        <v>0</v>
      </c>
      <c r="D28" s="38">
        <v>89173</v>
      </c>
      <c r="E28" s="38">
        <v>2044696</v>
      </c>
      <c r="F28" s="38">
        <v>750828</v>
      </c>
      <c r="G28">
        <v>0</v>
      </c>
      <c r="H28" s="38">
        <v>2884697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Appendix Q TERM</vt:lpstr>
      <vt:lpstr>Appendix R TERM</vt:lpstr>
      <vt:lpstr>Appendix S TERM</vt:lpstr>
      <vt:lpstr>Appendix T TERM</vt:lpstr>
      <vt:lpstr>Appendix U TERM</vt:lpstr>
      <vt:lpstr>Deps Performed YE3Q2016</vt:lpstr>
      <vt:lpstr>Directs YE3Q2016</vt:lpstr>
      <vt:lpstr>Indirects YE3Q2016</vt:lpstr>
      <vt:lpstr>'Appendix R TERM'!Print_Area</vt:lpstr>
      <vt:lpstr>'Appendix U TERM'!Print_Area</vt:lpstr>
      <vt:lpstr>'Appendix U TERM'!Print_Titles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2017-08-16T17:04:16Z</dcterms:modified>
</cp:coreProperties>
</file>