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bookViews>
    <workbookView xWindow="240" yWindow="225" windowWidth="14805" windowHeight="7890" tabRatio="887"/>
  </bookViews>
  <sheets>
    <sheet name="Appendix K SEA 2016" sheetId="15" r:id="rId1"/>
    <sheet name="Appendix L SEA 2016" sheetId="13" r:id="rId2"/>
    <sheet name="Appendix M SEA 2016" sheetId="12" r:id="rId3"/>
    <sheet name="Appendix M 2 SEA 2016" sheetId="11" r:id="rId4"/>
    <sheet name="Appendix N 2016" sheetId="10" r:id="rId5"/>
  </sheets>
  <definedNames>
    <definedName name="_xlnm.Print_Area" localSheetId="0">'Appendix K SEA 2016'!$A$1:$M$29</definedName>
  </definedNames>
  <calcPr calcId="171027"/>
</workbook>
</file>

<file path=xl/calcChain.xml><?xml version="1.0" encoding="utf-8"?>
<calcChain xmlns="http://schemas.openxmlformats.org/spreadsheetml/2006/main">
  <c r="B18" i="15" l="1"/>
  <c r="F17" i="15" l="1"/>
  <c r="J17" i="15" l="1"/>
  <c r="G21" i="13" l="1"/>
  <c r="E58" i="12" l="1"/>
  <c r="F58" i="12"/>
  <c r="G58" i="12"/>
  <c r="E59" i="12"/>
  <c r="F59" i="12"/>
  <c r="G59" i="12"/>
  <c r="F52" i="12"/>
  <c r="F57" i="12" s="1"/>
  <c r="E52" i="12"/>
  <c r="E57" i="12" s="1"/>
  <c r="E13" i="12"/>
  <c r="F13" i="12"/>
  <c r="G13" i="12"/>
  <c r="H13" i="12"/>
  <c r="I13" i="12"/>
  <c r="J13" i="12"/>
  <c r="K13" i="12"/>
  <c r="E17" i="12"/>
  <c r="F17" i="12"/>
  <c r="G17" i="12"/>
  <c r="H17" i="12"/>
  <c r="I17" i="12"/>
  <c r="J17" i="12"/>
  <c r="K17" i="12"/>
  <c r="E42" i="12"/>
  <c r="F42" i="12"/>
  <c r="G42" i="12"/>
  <c r="H42" i="12"/>
  <c r="I42" i="12"/>
  <c r="J42" i="12"/>
  <c r="K42" i="12"/>
  <c r="E43" i="12"/>
  <c r="F43" i="12"/>
  <c r="G43" i="12"/>
  <c r="H43" i="12"/>
  <c r="I43" i="12"/>
  <c r="J43" i="12"/>
  <c r="K43" i="12"/>
  <c r="F36" i="12"/>
  <c r="F41" i="12" s="1"/>
  <c r="E36" i="12"/>
  <c r="E41" i="12" s="1"/>
  <c r="F23" i="12"/>
  <c r="E23" i="12"/>
  <c r="I29" i="11"/>
  <c r="I24" i="11"/>
  <c r="I25" i="11" s="1"/>
  <c r="I23" i="11"/>
  <c r="I22" i="11"/>
  <c r="I21" i="11"/>
  <c r="G29" i="11"/>
  <c r="G24" i="11"/>
  <c r="G25" i="11" s="1"/>
  <c r="G23" i="11"/>
  <c r="G22" i="11"/>
  <c r="G21" i="11"/>
  <c r="G52" i="12"/>
  <c r="G57" i="12" s="1"/>
  <c r="H52" i="12"/>
  <c r="I52" i="12"/>
  <c r="J52" i="12"/>
  <c r="K52" i="12"/>
  <c r="G36" i="12"/>
  <c r="G41" i="12" s="1"/>
  <c r="H36" i="12"/>
  <c r="H41" i="12" s="1"/>
  <c r="I36" i="12"/>
  <c r="I41" i="12" s="1"/>
  <c r="J36" i="12"/>
  <c r="J41" i="12" s="1"/>
  <c r="K36" i="12"/>
  <c r="K41" i="12" s="1"/>
  <c r="Q18" i="10"/>
  <c r="R4" i="10" s="1"/>
  <c r="E45" i="12" l="1"/>
  <c r="G61" i="12"/>
  <c r="G44" i="12"/>
  <c r="F61" i="12"/>
  <c r="E61" i="12"/>
  <c r="G60" i="12"/>
  <c r="F60" i="12"/>
  <c r="E60" i="12"/>
  <c r="E25" i="12"/>
  <c r="E26" i="12" s="1"/>
  <c r="E27" i="12" s="1"/>
  <c r="F45" i="12"/>
  <c r="F44" i="12"/>
  <c r="E44" i="12"/>
  <c r="F25" i="12"/>
  <c r="F26" i="12" s="1"/>
  <c r="F27" i="12" s="1"/>
  <c r="K45" i="12"/>
  <c r="K44" i="12"/>
  <c r="J45" i="12"/>
  <c r="J44" i="12"/>
  <c r="I44" i="12"/>
  <c r="I45" i="12"/>
  <c r="H44" i="12"/>
  <c r="H45" i="12"/>
  <c r="G45" i="12"/>
  <c r="F24" i="12"/>
  <c r="E24" i="12"/>
  <c r="R11" i="10"/>
  <c r="R10" i="10"/>
  <c r="R3" i="10"/>
  <c r="R9" i="10"/>
  <c r="R8" i="10"/>
  <c r="R15" i="10"/>
  <c r="R7" i="10"/>
  <c r="R14" i="10"/>
  <c r="R6" i="10"/>
  <c r="R13" i="10"/>
  <c r="R5" i="10"/>
  <c r="R12" i="10"/>
  <c r="J18" i="15" l="1"/>
  <c r="G19" i="13"/>
  <c r="G18" i="13"/>
  <c r="G17" i="13"/>
  <c r="G16" i="13"/>
  <c r="G15" i="13"/>
  <c r="G14" i="13"/>
  <c r="G13" i="13"/>
  <c r="G12" i="13"/>
  <c r="G20" i="13"/>
  <c r="D55" i="12"/>
  <c r="D53" i="12"/>
  <c r="D51" i="12"/>
  <c r="J61" i="12"/>
  <c r="J60" i="12"/>
  <c r="J59" i="12"/>
  <c r="J58" i="12"/>
  <c r="J57" i="12"/>
  <c r="J23" i="12"/>
  <c r="J24" i="12" s="1"/>
  <c r="K61" i="12"/>
  <c r="I61" i="12"/>
  <c r="H61" i="12"/>
  <c r="K60" i="12"/>
  <c r="I60" i="12"/>
  <c r="H60" i="12"/>
  <c r="K59" i="12"/>
  <c r="I59" i="12"/>
  <c r="H59" i="12"/>
  <c r="K58" i="12"/>
  <c r="I58" i="12"/>
  <c r="H58" i="12"/>
  <c r="K57" i="12"/>
  <c r="I57" i="12"/>
  <c r="H57" i="12"/>
  <c r="K23" i="12"/>
  <c r="K24" i="12" s="1"/>
  <c r="I23" i="12"/>
  <c r="I24" i="12" s="1"/>
  <c r="H23" i="12"/>
  <c r="H24" i="12" s="1"/>
  <c r="G23" i="12"/>
  <c r="G24" i="12" s="1"/>
  <c r="D19" i="11"/>
  <c r="K29" i="11"/>
  <c r="J29" i="11"/>
  <c r="H29" i="11"/>
  <c r="F29" i="11"/>
  <c r="E29" i="11"/>
  <c r="K24" i="11"/>
  <c r="K25" i="11" s="1"/>
  <c r="J24" i="11"/>
  <c r="J25" i="11" s="1"/>
  <c r="H24" i="11"/>
  <c r="H25" i="11" s="1"/>
  <c r="F24" i="11"/>
  <c r="F25" i="11" s="1"/>
  <c r="E24" i="11"/>
  <c r="E25" i="11" s="1"/>
  <c r="K23" i="11"/>
  <c r="J23" i="11"/>
  <c r="H23" i="11"/>
  <c r="F23" i="11"/>
  <c r="E23" i="11"/>
  <c r="K22" i="11"/>
  <c r="J22" i="11"/>
  <c r="H22" i="11"/>
  <c r="F22" i="11"/>
  <c r="E22" i="11"/>
  <c r="K21" i="11"/>
  <c r="J21" i="11"/>
  <c r="H21" i="11"/>
  <c r="F21" i="11"/>
  <c r="E21" i="11"/>
  <c r="A14" i="11"/>
  <c r="A15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F24" i="10"/>
  <c r="G11" i="10" l="1"/>
  <c r="G19" i="10"/>
  <c r="G18" i="10"/>
  <c r="G12" i="10"/>
  <c r="G20" i="10"/>
  <c r="H20" i="10" s="1"/>
  <c r="G22" i="10"/>
  <c r="H22" i="10" s="1"/>
  <c r="G16" i="10"/>
  <c r="H16" i="10" s="1"/>
  <c r="G13" i="10"/>
  <c r="H13" i="10" s="1"/>
  <c r="G21" i="10"/>
  <c r="H21" i="10" s="1"/>
  <c r="G14" i="10"/>
  <c r="G15" i="10"/>
  <c r="G17" i="10"/>
  <c r="H17" i="10" s="1"/>
  <c r="H18" i="10"/>
  <c r="H12" i="10"/>
  <c r="H19" i="10"/>
  <c r="H14" i="10"/>
  <c r="H15" i="10"/>
  <c r="D58" i="12"/>
  <c r="F28" i="12"/>
  <c r="F29" i="12" s="1"/>
  <c r="E28" i="12"/>
  <c r="E29" i="12" s="1"/>
  <c r="K26" i="11"/>
  <c r="K27" i="11" s="1"/>
  <c r="G26" i="11"/>
  <c r="G27" i="11" s="1"/>
  <c r="I26" i="11"/>
  <c r="I27" i="11" s="1"/>
  <c r="J25" i="12"/>
  <c r="J26" i="12" s="1"/>
  <c r="J27" i="12" s="1"/>
  <c r="H12" i="13"/>
  <c r="D17" i="15" s="1"/>
  <c r="G28" i="12"/>
  <c r="H28" i="12"/>
  <c r="I28" i="12"/>
  <c r="K28" i="12"/>
  <c r="J28" i="12"/>
  <c r="G25" i="12"/>
  <c r="G26" i="12" s="1"/>
  <c r="G27" i="12" s="1"/>
  <c r="H25" i="12"/>
  <c r="H26" i="12" s="1"/>
  <c r="H27" i="12" s="1"/>
  <c r="I25" i="12"/>
  <c r="I26" i="12" s="1"/>
  <c r="I27" i="12" s="1"/>
  <c r="K25" i="12"/>
  <c r="K26" i="12" s="1"/>
  <c r="K27" i="12" s="1"/>
  <c r="F26" i="11"/>
  <c r="F27" i="11" s="1"/>
  <c r="H26" i="11"/>
  <c r="H27" i="11" s="1"/>
  <c r="J26" i="11"/>
  <c r="J27" i="11" s="1"/>
  <c r="E26" i="11"/>
  <c r="H29" i="12" l="1"/>
  <c r="G29" i="12"/>
  <c r="D28" i="12"/>
  <c r="J29" i="12"/>
  <c r="K29" i="12"/>
  <c r="I29" i="12"/>
  <c r="E27" i="11"/>
  <c r="D27" i="11" s="1"/>
  <c r="D26" i="11"/>
  <c r="G24" i="10"/>
  <c r="H11" i="10"/>
  <c r="B16" i="15" l="1"/>
  <c r="D29" i="12"/>
  <c r="C21" i="13" s="1"/>
  <c r="D21" i="13" s="1"/>
  <c r="B17" i="15" l="1"/>
  <c r="H17" i="15" s="1"/>
  <c r="H16" i="15"/>
  <c r="L16" i="15" s="1"/>
  <c r="H18" i="15" l="1"/>
  <c r="L18" i="15" s="1"/>
  <c r="L17" i="15"/>
</calcChain>
</file>

<file path=xl/sharedStrings.xml><?xml version="1.0" encoding="utf-8"?>
<sst xmlns="http://schemas.openxmlformats.org/spreadsheetml/2006/main" count="311" uniqueCount="164">
  <si>
    <t>Capacity Related Expense (CR)</t>
  </si>
  <si>
    <t>Direct Expense, Includes Fuel</t>
  </si>
  <si>
    <t>Indirect Expense</t>
  </si>
  <si>
    <t>CR Markup</t>
  </si>
  <si>
    <t>Circuity Markup</t>
  </si>
  <si>
    <t>By Aircraft Type</t>
  </si>
  <si>
    <t>Less Psgr. Liability Insurance</t>
  </si>
  <si>
    <t>Linehaul Expense Allocable to Mail</t>
  </si>
  <si>
    <t>Marked Up Costs (R11*R4*R5*R8)</t>
  </si>
  <si>
    <t xml:space="preserve">Percentage of Eligible Mail RTMs </t>
  </si>
  <si>
    <t>Cost Wtd. By Mail RTMs (R15*R16)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</si>
  <si>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</si>
  <si>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</si>
  <si>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</si>
  <si>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</si>
  <si>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</si>
  <si>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</si>
  <si>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</si>
  <si>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</si>
  <si>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</si>
  <si>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</si>
  <si>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</si>
  <si>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</si>
  <si>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</si>
  <si>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</si>
  <si>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</si>
  <si>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</si>
  <si>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</si>
  <si>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</si>
  <si>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</si>
  <si>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Total</t>
  </si>
  <si>
    <t>Cost per Block Hour (R11÷ R18)</t>
  </si>
  <si>
    <t>Eligible Expense (R13*R32÷R18)</t>
  </si>
  <si>
    <t>Return and Tax Markup</t>
  </si>
  <si>
    <t>T-100 Seg. Mail RTMs</t>
  </si>
  <si>
    <t>T-100 Mkt. Mail RTMs</t>
  </si>
  <si>
    <t>Eligible Cost per RTM (R14÷R36)</t>
  </si>
  <si>
    <t>Carrier</t>
  </si>
  <si>
    <t>Price per Gallon</t>
  </si>
  <si>
    <t>Burn per Hour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</si>
  <si>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</si>
  <si>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</si>
  <si>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</si>
  <si>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</si>
  <si>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</si>
  <si>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</si>
  <si>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</si>
  <si>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</si>
  <si>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K3</t>
  </si>
  <si>
    <t>Pacific</t>
  </si>
  <si>
    <t>3F</t>
  </si>
  <si>
    <t>Al. Seaplane</t>
  </si>
  <si>
    <t>J5</t>
  </si>
  <si>
    <t>Island</t>
  </si>
  <si>
    <t>2O</t>
  </si>
  <si>
    <t>Beaver</t>
  </si>
  <si>
    <t>Linehaul, Seaplane</t>
  </si>
  <si>
    <t>Total Eligible RTMs, T-100 Segment</t>
  </si>
  <si>
    <t>$/RTM</t>
  </si>
  <si>
    <t>Time</t>
  </si>
  <si>
    <t>Nonfuel</t>
  </si>
  <si>
    <t>Period</t>
  </si>
  <si>
    <t>Linehaul</t>
  </si>
  <si>
    <t>Actual Y</t>
  </si>
  <si>
    <t>Natural Log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</si>
  <si>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</si>
  <si>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</si>
  <si>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</si>
  <si>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</si>
  <si>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</si>
  <si>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</si>
  <si>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</si>
  <si>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</si>
  <si>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</si>
  <si>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</si>
  <si>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</si>
  <si>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</si>
  <si>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</si>
  <si>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</si>
  <si>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</si>
  <si>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</si>
  <si>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</si>
  <si>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</si>
  <si>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</si>
  <si>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</si>
  <si>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</si>
  <si>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</si>
  <si>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</si>
  <si>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</si>
  <si>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</si>
  <si>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</si>
  <si>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</si>
  <si>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</si>
  <si>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</si>
  <si>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</si>
  <si>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</si>
  <si>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</si>
  <si>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</si>
  <si>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</si>
  <si>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</si>
  <si>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Current Rate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</si>
  <si>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</si>
  <si>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</si>
  <si>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</si>
  <si>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</si>
  <si>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</si>
  <si>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</si>
  <si>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</si>
  <si>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</si>
  <si>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</si>
  <si>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</si>
  <si>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</si>
  <si>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3/ Reflects the fact that from the midpoint of the reporting period to the midpoint of the prospective</t>
  </si>
  <si>
    <t>The total is the sum of the two. The final order will reflect the most recent quarterly fuel costs available at the time.</t>
  </si>
  <si>
    <t>5/ Column 4 ÷ Column 5 less 1.</t>
  </si>
  <si>
    <t>Increase</t>
  </si>
  <si>
    <t>Cumulative</t>
  </si>
  <si>
    <t>2-Ltr.</t>
  </si>
  <si>
    <t>A/C Type</t>
  </si>
  <si>
    <t>Percent</t>
  </si>
  <si>
    <t>Taquan</t>
  </si>
  <si>
    <t>EXP (Y)</t>
  </si>
  <si>
    <t>Eligible</t>
  </si>
  <si>
    <t xml:space="preserve">Predicted </t>
  </si>
  <si>
    <t>Annual</t>
  </si>
  <si>
    <t>Linehual, Seaplane</t>
  </si>
  <si>
    <t>Total Fuel Expense, Schedule F-2</t>
  </si>
  <si>
    <t>Total Gallons Issued, Schedule F-2</t>
  </si>
  <si>
    <t>Ratio of Total to Revenue Block Hours</t>
  </si>
  <si>
    <t>Adjusted R Square</t>
  </si>
  <si>
    <t>Standard Error</t>
  </si>
  <si>
    <t>t Stat</t>
  </si>
  <si>
    <t>Std. Error</t>
  </si>
  <si>
    <t>Alaska Seaplanes</t>
  </si>
  <si>
    <t>Island Air Service</t>
  </si>
  <si>
    <t>Island Air Express</t>
  </si>
  <si>
    <t>X4</t>
  </si>
  <si>
    <t>Caravan</t>
  </si>
  <si>
    <t>Eligible Block Hours, T-100 Segment</t>
  </si>
  <si>
    <t>Air Excursions LLC</t>
  </si>
  <si>
    <t>Pacific Airways, Inc.</t>
  </si>
  <si>
    <t>AC Type</t>
  </si>
  <si>
    <t>AC</t>
  </si>
  <si>
    <t>Block Hours</t>
  </si>
  <si>
    <t>I4</t>
  </si>
  <si>
    <t>Venture Travel LLC d/b/a Taquan Air Service</t>
  </si>
  <si>
    <t>Kalinin Aviation LLC d/b/a Alaska Seaplanes</t>
  </si>
  <si>
    <t>Scott Air LLC dba Island Air Express</t>
  </si>
  <si>
    <r>
      <t xml:space="preserve">Determination of Carriers Included in the Class Rates, One Percent Rule, YE </t>
    </r>
    <r>
      <rPr>
        <sz val="11"/>
        <color rgb="FFFF0000"/>
        <rFont val="Times New Roman"/>
        <family val="1"/>
      </rPr>
      <t>9-30-16</t>
    </r>
  </si>
  <si>
    <r>
      <rPr>
        <u/>
        <sz val="11"/>
        <rFont val="Times New Roman"/>
        <family val="1"/>
      </rPr>
      <t xml:space="preserve">Order </t>
    </r>
    <r>
      <rPr>
        <u/>
        <sz val="11"/>
        <color rgb="FFFF0000"/>
        <rFont val="Times New Roman"/>
        <family val="1"/>
      </rPr>
      <t>2016-12-20</t>
    </r>
  </si>
  <si>
    <t>YE 6/30/06</t>
  </si>
  <si>
    <r>
      <rPr>
        <u/>
        <sz val="11"/>
        <rFont val="Times New Roman"/>
        <family val="1"/>
      </rPr>
      <t>to YE 9/30/</t>
    </r>
    <r>
      <rPr>
        <u/>
        <sz val="11"/>
        <color rgb="FFFF0000"/>
        <rFont val="Times New Roman"/>
        <family val="1"/>
      </rPr>
      <t>16</t>
    </r>
  </si>
  <si>
    <r>
      <t xml:space="preserve">Calculation of the Linehaul, Seaplane, </t>
    </r>
    <r>
      <rPr>
        <sz val="11"/>
        <color rgb="FFFF0000"/>
        <rFont val="Times New Roman"/>
        <family val="1"/>
      </rPr>
      <t>YE 9-30-16</t>
    </r>
  </si>
  <si>
    <r>
      <t xml:space="preserve">Year Ended September 30, </t>
    </r>
    <r>
      <rPr>
        <sz val="11"/>
        <color rgb="FFFF0000"/>
        <rFont val="Times New Roman"/>
        <family val="1"/>
      </rPr>
      <t>2016</t>
    </r>
  </si>
  <si>
    <r>
      <t xml:space="preserve">Year Ended September 30, </t>
    </r>
    <r>
      <rPr>
        <sz val="8"/>
        <color rgb="FFFF0000"/>
        <rFont val="Times New Roman"/>
        <family val="1"/>
      </rPr>
      <t>2016</t>
    </r>
  </si>
  <si>
    <t>rate is 1.75 years.  1.0065 x 1.004875 = 1.13, where 0.004875 is the average annual unit cost increase projected for</t>
  </si>
  <si>
    <t>Appendix K</t>
  </si>
  <si>
    <t>Appendix L</t>
  </si>
  <si>
    <t>Appendix M</t>
  </si>
  <si>
    <t>a 9-month period.</t>
  </si>
  <si>
    <t>2/ We assume fuel increases will be zero.  For nonfuel, see "predicted annual increase" in Appendix L, Page 1.</t>
  </si>
  <si>
    <r>
      <t>4/ Fuel reflects YE 9-30-</t>
    </r>
    <r>
      <rPr>
        <sz val="11"/>
        <color rgb="FFFF0000"/>
        <rFont val="Times New Roman"/>
        <family val="1"/>
      </rPr>
      <t>16</t>
    </r>
    <r>
      <rPr>
        <sz val="11"/>
        <color theme="1"/>
        <rFont val="Times New Roman"/>
        <family val="1"/>
      </rPr>
      <t xml:space="preserve">, Appendix M, Page 2.  Nonfuel is column (1) mulitplied by Column (3). </t>
    </r>
  </si>
  <si>
    <t>Appendix N</t>
  </si>
  <si>
    <t>1/  Nonfuel, Appendix M, Page 1; Fuel, Appendix M, Page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</si>
</sst>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u val="double"/>
      <sz val="8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u/>
      <sz val="1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u val="double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0" fontId="3" fillId="0" borderId="0" xfId="0" applyNumberFormat="1" applyFont="1"/>
    <xf numFmtId="0" fontId="1" fillId="0" borderId="1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Continuous"/>
    </xf>
    <xf numFmtId="166" fontId="3" fillId="0" borderId="0" xfId="0" applyNumberFormat="1" applyFont="1"/>
    <xf numFmtId="166" fontId="4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0" fontId="1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7" fontId="5" fillId="0" borderId="0" xfId="0" applyNumberFormat="1" applyFont="1"/>
    <xf numFmtId="4" fontId="5" fillId="0" borderId="0" xfId="0" applyNumberFormat="1" applyFo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166" fontId="1" fillId="0" borderId="0" xfId="0" applyNumberFormat="1" applyFont="1" applyBorder="1"/>
    <xf numFmtId="0" fontId="1" fillId="0" borderId="0" xfId="0" applyFont="1" applyFill="1" applyBorder="1" applyAlignment="1"/>
    <xf numFmtId="10" fontId="1" fillId="0" borderId="0" xfId="0" applyNumberFormat="1" applyFont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Continuous"/>
    </xf>
    <xf numFmtId="166" fontId="2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0" fontId="2" fillId="0" borderId="0" xfId="0" applyNumberFormat="1" applyFont="1"/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" fillId="2" borderId="0" xfId="0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166" fontId="7" fillId="2" borderId="0" xfId="0" applyNumberFormat="1" applyFont="1" applyFill="1" applyAlignment="1">
      <alignment horizontal="right"/>
    </xf>
    <xf numFmtId="168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right"/>
    </xf>
    <xf numFmtId="165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3" fillId="2" borderId="0" xfId="0" applyNumberFormat="1" applyFont="1" applyFill="1" applyAlignment="1">
      <alignment horizontal="right"/>
    </xf>
    <xf numFmtId="10" fontId="1" fillId="2" borderId="0" xfId="0" applyNumberFormat="1" applyFont="1" applyFill="1"/>
    <xf numFmtId="0" fontId="14" fillId="0" borderId="0" xfId="0" applyFont="1" applyAlignment="1">
      <alignment horizontal="center"/>
    </xf>
    <xf numFmtId="3" fontId="0" fillId="0" borderId="0" xfId="0" applyNumberFormat="1"/>
    <xf numFmtId="0" fontId="0" fillId="0" borderId="3" xfId="0" applyBorder="1"/>
    <xf numFmtId="10" fontId="1" fillId="0" borderId="3" xfId="0" applyNumberFormat="1" applyFont="1" applyBorder="1"/>
    <xf numFmtId="0" fontId="1" fillId="0" borderId="3" xfId="0" applyFont="1" applyBorder="1"/>
    <xf numFmtId="0" fontId="1" fillId="2" borderId="0" xfId="0" applyFont="1" applyFill="1" applyBorder="1"/>
    <xf numFmtId="164" fontId="1" fillId="3" borderId="0" xfId="0" applyNumberFormat="1" applyFont="1" applyFill="1"/>
    <xf numFmtId="3" fontId="1" fillId="3" borderId="0" xfId="0" applyNumberFormat="1" applyFont="1" applyFill="1"/>
    <xf numFmtId="164" fontId="5" fillId="3" borderId="0" xfId="0" applyNumberFormat="1" applyFont="1" applyFill="1"/>
    <xf numFmtId="3" fontId="5" fillId="3" borderId="0" xfId="0" applyNumberFormat="1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168" fontId="0" fillId="0" borderId="0" xfId="1" applyNumberFormat="1" applyFont="1"/>
    <xf numFmtId="168" fontId="0" fillId="0" borderId="3" xfId="1" applyNumberFormat="1" applyFont="1" applyBorder="1"/>
    <xf numFmtId="0" fontId="0" fillId="0" borderId="0" xfId="0" applyBorder="1"/>
    <xf numFmtId="168" fontId="0" fillId="0" borderId="0" xfId="1" applyNumberFormat="1" applyFont="1" applyBorder="1"/>
    <xf numFmtId="164" fontId="5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Actual</a:t>
            </a:r>
            <a:r>
              <a:rPr lang="en-US" baseline="0"/>
              <a:t> vs. Predicted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496916543968589E-2"/>
                  <c:y val="0.31623736947044712"/>
                </c:manualLayout>
              </c:layout>
              <c:numFmt formatCode="General" sourceLinked="0"/>
            </c:trendlineLbl>
          </c:trendline>
          <c:xVal>
            <c:numRef>
              <c:f>'Appendix L SEA 2016'!$B$12:$B$21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L SEA 2016'!$D$12:$D$21</c:f>
              <c:numCache>
                <c:formatCode>General</c:formatCode>
                <c:ptCount val="10"/>
                <c:pt idx="0">
                  <c:v>3.0793010649733086</c:v>
                </c:pt>
                <c:pt idx="1">
                  <c:v>3.1233468211236639</c:v>
                </c:pt>
                <c:pt idx="2">
                  <c:v>3.2468177867469485</c:v>
                </c:pt>
                <c:pt idx="3">
                  <c:v>3.2620655740437163</c:v>
                </c:pt>
                <c:pt idx="4">
                  <c:v>3.2198593410575547</c:v>
                </c:pt>
                <c:pt idx="5">
                  <c:v>3.2078067884972934</c:v>
                </c:pt>
                <c:pt idx="6">
                  <c:v>3.1431043159580021</c:v>
                </c:pt>
                <c:pt idx="7">
                  <c:v>3.1380734954217515</c:v>
                </c:pt>
                <c:pt idx="8">
                  <c:v>3.2419851033299976</c:v>
                </c:pt>
                <c:pt idx="9">
                  <c:v>3.2502307487520272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53E-A4FE-773EC89648FA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'Appendix L SEA 2016'!$B$12:$B$21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L SEA 2016'!$E$12:$E$21</c:f>
              <c:numCache>
                <c:formatCode>General</c:formatCode>
                <c:ptCount val="10"/>
                <c:pt idx="0">
                  <c:v>3.1581873453530149</c:v>
                </c:pt>
                <c:pt idx="1">
                  <c:v>3.1646342540812009</c:v>
                </c:pt>
                <c:pt idx="2">
                  <c:v>3.1710988255730252</c:v>
                </c:pt>
                <c:pt idx="3">
                  <c:v>3.1775457343012112</c:v>
                </c:pt>
                <c:pt idx="4">
                  <c:v>3.1839926430293972</c:v>
                </c:pt>
                <c:pt idx="5">
                  <c:v>3.1985290975041831</c:v>
                </c:pt>
                <c:pt idx="6">
                  <c:v>3.2049760062323691</c:v>
                </c:pt>
                <c:pt idx="7">
                  <c:v>3.2114229149605551</c:v>
                </c:pt>
                <c:pt idx="8">
                  <c:v>3.2178698236887411</c:v>
                </c:pt>
                <c:pt idx="9">
                  <c:v>3.2243343951805659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53E-A4FE-773EC896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6816"/>
        <c:axId val="135428736"/>
      </c:scatterChart>
      <c:valAx>
        <c:axId val="1354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</a:t>
                </a:r>
                <a:r>
                  <a:rPr lang="en-US"/>
                  <a:t>Ended June 30, 2006, through September 30, 2016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crossAx val="135428736"/>
        <c:crosses val="autoZero"/>
        <c:crossBetween val="midCat"/>
      </c:valAx>
      <c:valAx>
        <c:axId val="13542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35426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13</xdr:col>
      <xdr:colOff>7620</xdr:colOff>
      <xdr:row>57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15DAAA-DFAE-4A10-B05C-7E2F2FEB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2540"/>
          <a:ext cx="792480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428624</xdr:colOff>
      <xdr:row>9</xdr:row>
      <xdr:rowOff>38100</xdr:rowOff>
    </xdr:from>
    <xdr:to>
      <xdr:col>19</xdr:col>
      <xdr:colOff>190499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41</xdr:row>
      <xdr:rowOff>0</xdr:rowOff>
    </xdr:from>
    <xdr:to>
      <xdr:col>9</xdr:col>
      <xdr:colOff>7620</xdr:colOff>
      <xdr:row>82</xdr:row>
      <xdr:rowOff>7620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D6ADE8D-2FD9-4187-BD49-F7D474D1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360920"/>
          <a:ext cx="6949440" cy="719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36</xdr:row>
      <xdr:rowOff>160020</xdr:rowOff>
    </xdr:from>
    <xdr:to>
      <xdr:col>19</xdr:col>
      <xdr:colOff>411480</xdr:colOff>
      <xdr:row>66</xdr:row>
      <xdr:rowOff>14097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EAEA7102-D846-468A-BE33-3886FC62665E}"/>
            </a:ext>
          </a:extLst>
        </xdr:cNvPr>
        <xdr:cNvGrpSpPr/>
      </xdr:nvGrpSpPr>
      <xdr:grpSpPr>
        <a:xfrm>
          <a:off x="7833360" y="6614160"/>
          <a:ext cx="6035040" cy="5142357"/>
          <a:chOff x="7833360" y="6614160"/>
          <a:chExt cx="6035040" cy="5142357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429E210B-5C7B-4739-81E9-7EC7CFB83D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11100" y="6614160"/>
            <a:ext cx="125730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2C32D9D7-A43B-4243-9444-AF5EBB6CEC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833360" y="7360920"/>
            <a:ext cx="6023370" cy="439559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11</xdr:col>
      <xdr:colOff>7620</xdr:colOff>
      <xdr:row>109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669E44-A9E5-4668-ACA5-C3844968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2220"/>
          <a:ext cx="7048500" cy="621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11</xdr:col>
      <xdr:colOff>7620</xdr:colOff>
      <xdr:row>61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8905EC-38BF-488F-AA4F-EB54CC042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3060"/>
          <a:ext cx="7757160" cy="526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9</xdr:col>
      <xdr:colOff>7620</xdr:colOff>
      <xdr:row>50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68ACF8-55DD-446E-A4E3-B53392A1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4380"/>
          <a:ext cx="5722620" cy="439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workbookViewId="0"/>
  </sheetViews>
  <sheetFormatPr defaultColWidth="9.140625" defaultRowHeight="14.25" x14ac:dyDescent="0.2"/>
  <cols>
    <col min="1" max="1" width="17.5703125" style="6" bestFit="1" customWidth="1"/>
    <col min="2" max="2" width="11.28515625" style="6" bestFit="1" customWidth="1"/>
    <col min="3" max="3" width="2.85546875" style="6" bestFit="1" customWidth="1"/>
    <col min="4" max="4" width="13.85546875" style="6" bestFit="1" customWidth="1"/>
    <col min="5" max="5" width="2.85546875" style="6" bestFit="1" customWidth="1"/>
    <col min="6" max="6" width="12" style="6" bestFit="1" customWidth="1"/>
    <col min="7" max="7" width="2.85546875" style="6" bestFit="1" customWidth="1"/>
    <col min="8" max="8" width="12.28515625" style="6" bestFit="1" customWidth="1"/>
    <col min="9" max="9" width="2.7109375" style="6" bestFit="1" customWidth="1"/>
    <col min="10" max="10" width="16.85546875" style="6" bestFit="1" customWidth="1"/>
    <col min="11" max="11" width="2.85546875" style="6" bestFit="1" customWidth="1"/>
    <col min="12" max="12" width="12.28515625" style="6" bestFit="1" customWidth="1"/>
    <col min="13" max="13" width="4.85546875" style="6" customWidth="1"/>
    <col min="14" max="16384" width="9.140625" style="6"/>
  </cols>
  <sheetData>
    <row r="1" spans="1:13" ht="15" x14ac:dyDescent="0.25">
      <c r="M1" s="3"/>
    </row>
    <row r="2" spans="1:13" ht="15" x14ac:dyDescent="0.25">
      <c r="M2" s="3" t="s">
        <v>56</v>
      </c>
    </row>
    <row r="3" spans="1:13" ht="15" x14ac:dyDescent="0.25">
      <c r="M3" s="3" t="s">
        <v>156</v>
      </c>
    </row>
    <row r="5" spans="1:13" ht="15" x14ac:dyDescent="0.25">
      <c r="B5" s="58" t="s">
        <v>152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8" spans="1:13" ht="15" x14ac:dyDescent="0.25">
      <c r="A8" s="2"/>
      <c r="B8" s="59" t="s">
        <v>87</v>
      </c>
      <c r="C8" s="59"/>
      <c r="D8" s="59" t="s">
        <v>88</v>
      </c>
      <c r="E8" s="59"/>
      <c r="F8" s="59" t="s">
        <v>89</v>
      </c>
      <c r="G8" s="59"/>
      <c r="H8" s="59" t="s">
        <v>90</v>
      </c>
      <c r="I8" s="59"/>
      <c r="J8" s="59" t="s">
        <v>91</v>
      </c>
      <c r="K8" s="59"/>
      <c r="L8" s="59" t="s">
        <v>92</v>
      </c>
    </row>
    <row r="9" spans="1:13" s="2" customFormat="1" ht="15" x14ac:dyDescent="0.25"/>
    <row r="10" spans="1:13" s="2" customFormat="1" ht="15" x14ac:dyDescent="0.25">
      <c r="D10" s="3" t="s">
        <v>93</v>
      </c>
    </row>
    <row r="11" spans="1:13" s="2" customFormat="1" ht="15" x14ac:dyDescent="0.25">
      <c r="D11" s="3" t="s">
        <v>94</v>
      </c>
      <c r="F11" s="3" t="s">
        <v>95</v>
      </c>
      <c r="G11" s="3"/>
      <c r="H11" s="3" t="s">
        <v>96</v>
      </c>
      <c r="I11" s="3"/>
      <c r="J11" s="3"/>
      <c r="K11" s="3"/>
      <c r="L11" s="3"/>
    </row>
    <row r="12" spans="1:13" s="2" customFormat="1" ht="15" x14ac:dyDescent="0.25">
      <c r="B12" s="2" t="s">
        <v>97</v>
      </c>
      <c r="D12" s="3" t="s">
        <v>150</v>
      </c>
      <c r="F12" s="3" t="s">
        <v>98</v>
      </c>
      <c r="G12" s="3"/>
      <c r="H12" s="3" t="s">
        <v>99</v>
      </c>
      <c r="I12" s="3"/>
      <c r="J12" s="3" t="s">
        <v>100</v>
      </c>
      <c r="K12" s="3"/>
      <c r="L12" s="3" t="s">
        <v>101</v>
      </c>
    </row>
    <row r="13" spans="1:13" s="4" customFormat="1" ht="15" x14ac:dyDescent="0.25">
      <c r="B13" s="60">
        <v>42643</v>
      </c>
      <c r="C13" s="63" t="s">
        <v>102</v>
      </c>
      <c r="D13" s="61" t="s">
        <v>151</v>
      </c>
      <c r="E13" s="4" t="s">
        <v>103</v>
      </c>
      <c r="F13" s="5" t="s">
        <v>104</v>
      </c>
      <c r="G13" s="5" t="s">
        <v>105</v>
      </c>
      <c r="H13" s="62">
        <v>43101</v>
      </c>
      <c r="I13" s="64" t="s">
        <v>106</v>
      </c>
      <c r="J13" s="61" t="s">
        <v>149</v>
      </c>
      <c r="K13" s="5"/>
      <c r="L13" s="5" t="s">
        <v>107</v>
      </c>
      <c r="M13" s="4" t="s">
        <v>108</v>
      </c>
    </row>
    <row r="14" spans="1:13" s="2" customFormat="1" ht="15" x14ac:dyDescent="0.25">
      <c r="A14" s="2" t="s">
        <v>109</v>
      </c>
    </row>
    <row r="15" spans="1:13" s="2" customFormat="1" ht="15" x14ac:dyDescent="0.25">
      <c r="A15" s="2" t="s">
        <v>110</v>
      </c>
    </row>
    <row r="16" spans="1:13" ht="15" x14ac:dyDescent="0.25">
      <c r="A16" s="57" t="s">
        <v>111</v>
      </c>
      <c r="B16" s="56">
        <f>'Appendix M 2 SEA 2016'!D27</f>
        <v>4.3156378335886174</v>
      </c>
      <c r="C16" s="12"/>
      <c r="D16" s="2">
        <v>0</v>
      </c>
      <c r="F16" s="2">
        <v>0</v>
      </c>
      <c r="H16" s="56">
        <f>B16</f>
        <v>4.3156378335886174</v>
      </c>
      <c r="I16" s="12"/>
      <c r="J16" s="56">
        <v>5.6841999999999997</v>
      </c>
      <c r="K16" s="12"/>
      <c r="L16" s="14">
        <f>H16/J16-1</f>
        <v>-0.24076601217609905</v>
      </c>
    </row>
    <row r="17" spans="1:12" ht="15" x14ac:dyDescent="0.25">
      <c r="A17" s="57" t="s">
        <v>60</v>
      </c>
      <c r="B17" s="55">
        <f>'Appendix M SEA 2016'!D29-B16</f>
        <v>25.796291692599276</v>
      </c>
      <c r="C17" s="13"/>
      <c r="D17" s="14">
        <f>'Appendix L SEA 2016'!$H$12</f>
        <v>6.467734774746825E-3</v>
      </c>
      <c r="E17" s="7"/>
      <c r="F17" s="14">
        <f>(1+D17)*(1+(D17*0.75))-1</f>
        <v>1.134990955064441E-2</v>
      </c>
      <c r="G17" s="7"/>
      <c r="H17" s="55">
        <f>(1+F17)*B17</f>
        <v>26.089077270052318</v>
      </c>
      <c r="I17" s="13"/>
      <c r="J17" s="55">
        <f>29.5775-5.8922</f>
        <v>23.685300000000002</v>
      </c>
      <c r="K17" s="12"/>
      <c r="L17" s="65">
        <f>H17/J17-1</f>
        <v>0.10148814961399344</v>
      </c>
    </row>
    <row r="18" spans="1:12" ht="15" x14ac:dyDescent="0.25">
      <c r="B18" s="56">
        <f>SUM(B16:B17)</f>
        <v>30.111929526187893</v>
      </c>
      <c r="C18" s="12"/>
      <c r="H18" s="56">
        <f>SUM(H16:H17)</f>
        <v>30.404715103640935</v>
      </c>
      <c r="I18" s="12"/>
      <c r="J18" s="56">
        <f>SUM(J16:J17)</f>
        <v>29.369500000000002</v>
      </c>
      <c r="K18" s="12"/>
      <c r="L18" s="14">
        <f>H18/J18-1</f>
        <v>3.5247964849280056E-2</v>
      </c>
    </row>
    <row r="21" spans="1:12" ht="15" x14ac:dyDescent="0.25">
      <c r="A21" s="37" t="s">
        <v>163</v>
      </c>
      <c r="B21" s="10"/>
      <c r="C21" s="10"/>
      <c r="D21" s="10"/>
      <c r="E21" s="10"/>
      <c r="F21" s="10"/>
      <c r="G21" s="10"/>
      <c r="H21" s="10"/>
      <c r="I21" s="10"/>
      <c r="J21" s="10"/>
      <c r="K21" s="9"/>
    </row>
    <row r="22" spans="1:12" ht="15" x14ac:dyDescent="0.25">
      <c r="A22" s="2" t="s">
        <v>160</v>
      </c>
    </row>
    <row r="23" spans="1:12" ht="15" x14ac:dyDescent="0.25">
      <c r="A23" s="2" t="s">
        <v>112</v>
      </c>
    </row>
    <row r="24" spans="1:12" ht="15" x14ac:dyDescent="0.25">
      <c r="A24" s="2" t="s">
        <v>155</v>
      </c>
    </row>
    <row r="25" spans="1:12" ht="15" x14ac:dyDescent="0.25">
      <c r="A25" s="2" t="s">
        <v>159</v>
      </c>
    </row>
    <row r="26" spans="1:12" ht="15" x14ac:dyDescent="0.25">
      <c r="A26" s="2" t="s">
        <v>161</v>
      </c>
    </row>
    <row r="27" spans="1:12" ht="15" x14ac:dyDescent="0.25">
      <c r="A27" s="2" t="s">
        <v>113</v>
      </c>
    </row>
    <row r="28" spans="1:12" ht="15" x14ac:dyDescent="0.25">
      <c r="A28" s="2" t="s">
        <v>114</v>
      </c>
    </row>
  </sheetData>
  <sheetProtection algorithmName="SHA-512" hashValue="fWyzeD378okHXIt4dV5XM/waL0TAZzOVmoajnyznNK1bKqRdFxSM6LzRw8E0AgC9FM0pZT7XkcAJOb5ArJHBKQ==" saltValue="TQn0vu4XQKVc0cnPqzJw8w==" spinCount="100000" sheet="1" objects="1" scenarios="1"/>
  <pageMargins left="0.7" right="0.7" top="0.75" bottom="0.75" header="0.3" footer="0.3"/>
  <pageSetup scale="78" orientation="portrait" verticalDpi="598" r:id="rId1"/>
  <ignoredErrors>
    <ignoredError sqref="B8:L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showGridLines="0" topLeftCell="B1" workbookViewId="0">
      <selection activeCell="K42" sqref="K42"/>
    </sheetView>
  </sheetViews>
  <sheetFormatPr defaultColWidth="9.140625" defaultRowHeight="15" x14ac:dyDescent="0.25"/>
  <cols>
    <col min="1" max="1" width="3.85546875" style="2" customWidth="1"/>
    <col min="2" max="2" width="18.5703125" style="2" bestFit="1" customWidth="1"/>
    <col min="3" max="5" width="12" style="2" bestFit="1" customWidth="1"/>
    <col min="6" max="6" width="12.7109375" style="2" bestFit="1" customWidth="1"/>
    <col min="7" max="7" width="12.85546875" style="2" bestFit="1" customWidth="1"/>
    <col min="8" max="8" width="12" style="2" bestFit="1" customWidth="1"/>
    <col min="9" max="16384" width="9.140625" style="2"/>
  </cols>
  <sheetData>
    <row r="1" spans="2:20" ht="13.9" x14ac:dyDescent="0.25">
      <c r="B1" s="1"/>
      <c r="C1" s="1"/>
      <c r="D1" s="1"/>
      <c r="E1" s="1"/>
      <c r="F1" s="1"/>
      <c r="G1" s="1"/>
      <c r="H1" s="1"/>
      <c r="I1" s="38"/>
      <c r="T1" s="38"/>
    </row>
    <row r="2" spans="2:20" ht="13.9" x14ac:dyDescent="0.25">
      <c r="B2" s="1"/>
      <c r="C2" s="1"/>
      <c r="D2" s="1"/>
      <c r="E2" s="1"/>
      <c r="F2" s="1"/>
      <c r="G2" s="1"/>
      <c r="H2" s="1"/>
      <c r="I2" s="38" t="s">
        <v>56</v>
      </c>
      <c r="T2" s="38" t="s">
        <v>56</v>
      </c>
    </row>
    <row r="3" spans="2:20" ht="13.9" x14ac:dyDescent="0.25">
      <c r="B3" s="1"/>
      <c r="C3" s="1"/>
      <c r="D3" s="1"/>
      <c r="E3" s="1"/>
      <c r="F3" s="1"/>
      <c r="G3" s="1"/>
      <c r="H3" s="1"/>
      <c r="I3" s="38" t="s">
        <v>157</v>
      </c>
      <c r="T3" s="38" t="s">
        <v>157</v>
      </c>
    </row>
    <row r="4" spans="2:20" ht="13.9" x14ac:dyDescent="0.25">
      <c r="B4" s="1"/>
      <c r="C4" s="1"/>
      <c r="D4" s="1"/>
      <c r="E4" s="1"/>
      <c r="F4" s="1"/>
      <c r="G4" s="1"/>
      <c r="H4" s="1"/>
      <c r="I4" s="39" t="s">
        <v>85</v>
      </c>
      <c r="T4" s="39" t="s">
        <v>86</v>
      </c>
    </row>
    <row r="5" spans="2:20" ht="13.9" x14ac:dyDescent="0.25">
      <c r="B5" s="1"/>
      <c r="C5" s="1"/>
      <c r="D5" s="1"/>
      <c r="E5" s="1"/>
      <c r="F5" s="1"/>
      <c r="G5" s="1"/>
      <c r="H5" s="1"/>
      <c r="I5" s="1"/>
    </row>
    <row r="6" spans="2:20" ht="13.9" x14ac:dyDescent="0.25">
      <c r="B6" s="1"/>
      <c r="C6" s="1"/>
      <c r="D6" s="1"/>
      <c r="E6" s="1"/>
      <c r="F6" s="1"/>
      <c r="G6" s="1"/>
      <c r="H6" s="1"/>
      <c r="I6" s="1"/>
    </row>
    <row r="7" spans="2:20" ht="13.9" x14ac:dyDescent="0.25">
      <c r="B7" s="1"/>
      <c r="C7" s="1"/>
      <c r="D7" s="38" t="s">
        <v>63</v>
      </c>
      <c r="E7" s="1"/>
      <c r="F7" s="1"/>
      <c r="G7" s="1"/>
      <c r="H7" s="1"/>
    </row>
    <row r="8" spans="2:20" ht="13.9" x14ac:dyDescent="0.25">
      <c r="B8" s="1"/>
      <c r="C8" s="1"/>
      <c r="D8" s="38" t="s">
        <v>64</v>
      </c>
      <c r="E8" s="1"/>
      <c r="F8" s="1"/>
      <c r="G8" s="1"/>
      <c r="H8" s="1"/>
    </row>
    <row r="9" spans="2:20" ht="13.9" x14ac:dyDescent="0.25">
      <c r="B9" s="38"/>
      <c r="C9" s="38" t="s">
        <v>58</v>
      </c>
      <c r="D9" s="38" t="s">
        <v>58</v>
      </c>
      <c r="E9" s="1"/>
      <c r="F9" s="1"/>
      <c r="G9" s="1"/>
      <c r="H9" s="38" t="s">
        <v>123</v>
      </c>
    </row>
    <row r="10" spans="2:20" ht="13.9" x14ac:dyDescent="0.25">
      <c r="B10" s="40" t="s">
        <v>59</v>
      </c>
      <c r="C10" s="38" t="s">
        <v>60</v>
      </c>
      <c r="D10" s="38" t="s">
        <v>60</v>
      </c>
      <c r="E10" s="1"/>
      <c r="F10" s="1"/>
      <c r="G10" s="1"/>
      <c r="H10" s="38" t="s">
        <v>124</v>
      </c>
    </row>
    <row r="11" spans="2:20" ht="13.9" x14ac:dyDescent="0.25">
      <c r="B11" s="41" t="s">
        <v>61</v>
      </c>
      <c r="C11" s="42" t="s">
        <v>62</v>
      </c>
      <c r="D11" s="42" t="s">
        <v>62</v>
      </c>
      <c r="E11" s="43" t="s">
        <v>83</v>
      </c>
      <c r="F11" s="43" t="s">
        <v>84</v>
      </c>
      <c r="G11" s="44" t="s">
        <v>121</v>
      </c>
      <c r="H11" s="42" t="s">
        <v>115</v>
      </c>
    </row>
    <row r="12" spans="2:20" ht="14.45" x14ac:dyDescent="0.3">
      <c r="B12" s="45">
        <v>38898</v>
      </c>
      <c r="C12" s="46">
        <v>21.743200000000002</v>
      </c>
      <c r="D12" s="1">
        <v>3.0793010649733086</v>
      </c>
      <c r="E12" s="69">
        <v>3.1581873453530149</v>
      </c>
      <c r="F12" s="69">
        <v>-7.8886280379706353E-2</v>
      </c>
      <c r="G12" s="47">
        <f t="shared" ref="G12:G19" si="0">EXP(E12)</f>
        <v>23.527909278590787</v>
      </c>
      <c r="H12" s="48">
        <f>G13/G12-1</f>
        <v>6.467734774746825E-3</v>
      </c>
    </row>
    <row r="13" spans="2:20" ht="14.45" x14ac:dyDescent="0.3">
      <c r="B13" s="45">
        <v>39263</v>
      </c>
      <c r="C13" s="46">
        <v>22.722300000000001</v>
      </c>
      <c r="D13" s="1">
        <v>3.1233468211236639</v>
      </c>
      <c r="E13" s="69">
        <v>3.1646342540812009</v>
      </c>
      <c r="F13" s="69">
        <v>-4.1287432957537007E-2</v>
      </c>
      <c r="G13" s="47">
        <f t="shared" si="0"/>
        <v>23.680081555609018</v>
      </c>
      <c r="H13" s="48"/>
    </row>
    <row r="14" spans="2:20" ht="14.45" x14ac:dyDescent="0.3">
      <c r="B14" s="45">
        <v>39629</v>
      </c>
      <c r="C14" s="46">
        <v>25.708400000000001</v>
      </c>
      <c r="D14" s="1">
        <v>3.2468177867469485</v>
      </c>
      <c r="E14" s="69">
        <v>3.1710988255730252</v>
      </c>
      <c r="F14" s="69">
        <v>7.5718961173923294E-2</v>
      </c>
      <c r="G14" s="47">
        <f t="shared" si="0"/>
        <v>23.833659007123043</v>
      </c>
      <c r="H14" s="48"/>
    </row>
    <row r="15" spans="2:20" ht="14.45" x14ac:dyDescent="0.3">
      <c r="B15" s="45">
        <v>39994</v>
      </c>
      <c r="C15" s="46">
        <v>26.103400000000001</v>
      </c>
      <c r="D15" s="1">
        <v>3.2620655740437163</v>
      </c>
      <c r="E15" s="69">
        <v>3.1775457343012112</v>
      </c>
      <c r="F15" s="69">
        <v>8.4519839742505098E-2</v>
      </c>
      <c r="G15" s="47">
        <f t="shared" si="0"/>
        <v>23.987808792292871</v>
      </c>
      <c r="H15" s="48"/>
    </row>
    <row r="16" spans="2:20" ht="14.45" x14ac:dyDescent="0.3">
      <c r="B16" s="45">
        <v>40359</v>
      </c>
      <c r="C16" s="46">
        <v>25.0246</v>
      </c>
      <c r="D16" s="1">
        <v>3.2198593410575547</v>
      </c>
      <c r="E16" s="69">
        <v>3.1839926430293972</v>
      </c>
      <c r="F16" s="69">
        <v>3.5866698028157451E-2</v>
      </c>
      <c r="G16" s="47">
        <f t="shared" si="0"/>
        <v>24.142955577388761</v>
      </c>
      <c r="H16" s="48"/>
    </row>
    <row r="17" spans="2:10" ht="14.45" x14ac:dyDescent="0.3">
      <c r="B17" s="45">
        <v>41182</v>
      </c>
      <c r="C17" s="46">
        <v>24.724799999999998</v>
      </c>
      <c r="D17" s="1">
        <v>3.2078067884972934</v>
      </c>
      <c r="E17" s="69">
        <v>3.1985290975041831</v>
      </c>
      <c r="F17" s="69">
        <v>9.2776909931102658E-3</v>
      </c>
      <c r="G17" s="47">
        <f t="shared" si="0"/>
        <v>24.496471762935325</v>
      </c>
      <c r="H17" s="48"/>
    </row>
    <row r="18" spans="2:10" ht="14.45" x14ac:dyDescent="0.3">
      <c r="B18" s="45">
        <v>41547</v>
      </c>
      <c r="C18" s="49">
        <v>23.175699999999999</v>
      </c>
      <c r="D18" s="1">
        <v>3.1431043159580021</v>
      </c>
      <c r="E18" s="69">
        <v>3.2049760062323691</v>
      </c>
      <c r="F18" s="69">
        <v>-6.1871690274367008E-2</v>
      </c>
      <c r="G18" s="47">
        <f t="shared" si="0"/>
        <v>24.654908445215067</v>
      </c>
      <c r="H18" s="48"/>
    </row>
    <row r="19" spans="2:10" ht="14.45" x14ac:dyDescent="0.3">
      <c r="B19" s="45">
        <v>41912</v>
      </c>
      <c r="C19" s="53">
        <v>23.0594</v>
      </c>
      <c r="D19" s="1">
        <v>3.1380734954217515</v>
      </c>
      <c r="E19" s="69">
        <v>3.2114229149605551</v>
      </c>
      <c r="F19" s="69">
        <v>-7.3349419538803584E-2</v>
      </c>
      <c r="G19" s="47">
        <f t="shared" si="0"/>
        <v>24.814369853934384</v>
      </c>
      <c r="H19" s="1"/>
    </row>
    <row r="20" spans="2:10" ht="14.45" x14ac:dyDescent="0.3">
      <c r="B20" s="45">
        <v>42277</v>
      </c>
      <c r="C20" s="53">
        <v>25.584459166267578</v>
      </c>
      <c r="D20" s="1">
        <v>3.2419851033299976</v>
      </c>
      <c r="E20" s="69">
        <v>3.2178698236887411</v>
      </c>
      <c r="F20" s="69">
        <v>2.4115279641256482E-2</v>
      </c>
      <c r="G20" s="47">
        <f>EXP(E20)</f>
        <v>24.974862616752105</v>
      </c>
      <c r="H20" s="1"/>
    </row>
    <row r="21" spans="2:10" ht="14.45" x14ac:dyDescent="0.3">
      <c r="B21" s="45">
        <v>42643</v>
      </c>
      <c r="C21" s="53">
        <f>'Appendix M SEA 2016'!D29-'Appendix M 2 SEA 2016'!D27</f>
        <v>25.796291692599276</v>
      </c>
      <c r="D21" s="1">
        <f t="shared" ref="D21" si="1">LN(C21)</f>
        <v>3.2502307487520272</v>
      </c>
      <c r="E21" s="69">
        <v>3.2243343951805659</v>
      </c>
      <c r="F21" s="69">
        <v>2.5896353571461361E-2</v>
      </c>
      <c r="G21" s="47">
        <f>EXP(E21)</f>
        <v>25.136837386289393</v>
      </c>
      <c r="H21" s="1"/>
    </row>
    <row r="22" spans="2:10" ht="13.9" x14ac:dyDescent="0.25">
      <c r="B22" s="1"/>
      <c r="C22" s="1"/>
      <c r="D22" s="1"/>
      <c r="E22" s="1"/>
      <c r="F22" s="1"/>
      <c r="G22" s="1"/>
      <c r="H22" s="1"/>
      <c r="I22" s="1"/>
    </row>
    <row r="23" spans="2:10" ht="13.9" x14ac:dyDescent="0.25">
      <c r="B23" s="1" t="s">
        <v>69</v>
      </c>
      <c r="C23" s="1"/>
      <c r="D23" s="1"/>
      <c r="E23" s="1"/>
      <c r="F23" s="1"/>
      <c r="G23" s="1"/>
      <c r="H23" s="1"/>
      <c r="I23" s="1"/>
      <c r="J23" s="1"/>
    </row>
    <row r="24" spans="2:10" ht="13.9" x14ac:dyDescent="0.25">
      <c r="B24" s="50"/>
      <c r="C24" s="44" t="s">
        <v>73</v>
      </c>
      <c r="D24" s="44" t="s">
        <v>74</v>
      </c>
      <c r="E24" s="44" t="s">
        <v>75</v>
      </c>
      <c r="F24" s="44" t="s">
        <v>76</v>
      </c>
      <c r="G24" s="44" t="s">
        <v>77</v>
      </c>
      <c r="H24" s="1"/>
      <c r="I24" s="1"/>
      <c r="J24" s="1"/>
    </row>
    <row r="25" spans="2:10" ht="14.45" x14ac:dyDescent="0.3">
      <c r="B25" s="69" t="s">
        <v>70</v>
      </c>
      <c r="C25" s="69">
        <v>1</v>
      </c>
      <c r="D25" s="69">
        <v>4.8996094168773305E-3</v>
      </c>
      <c r="E25" s="69">
        <v>4.8996094168773305E-3</v>
      </c>
      <c r="F25" s="69">
        <v>1.2009741245241004</v>
      </c>
      <c r="G25" s="69">
        <v>0.30501810630230636</v>
      </c>
      <c r="H25" s="1"/>
      <c r="I25" s="1"/>
      <c r="J25" s="1"/>
    </row>
    <row r="26" spans="2:10" ht="14.45" x14ac:dyDescent="0.3">
      <c r="B26" s="69" t="s">
        <v>71</v>
      </c>
      <c r="C26" s="69">
        <v>8</v>
      </c>
      <c r="D26" s="69">
        <v>3.2637568565892998E-2</v>
      </c>
      <c r="E26" s="69">
        <v>4.0796960707366247E-3</v>
      </c>
      <c r="F26" s="69"/>
      <c r="G26" s="69"/>
      <c r="H26" s="1"/>
      <c r="I26" s="43"/>
      <c r="J26" s="1"/>
    </row>
    <row r="27" spans="2:10" thickBot="1" x14ac:dyDescent="0.35">
      <c r="B27" s="70" t="s">
        <v>30</v>
      </c>
      <c r="C27" s="70">
        <v>9</v>
      </c>
      <c r="D27" s="70">
        <v>3.7537177982770328E-2</v>
      </c>
      <c r="E27" s="70"/>
      <c r="F27" s="70"/>
      <c r="G27" s="70"/>
      <c r="H27" s="1"/>
      <c r="I27" s="47"/>
      <c r="J27" s="1"/>
    </row>
    <row r="28" spans="2:10" ht="13.9" x14ac:dyDescent="0.25">
      <c r="B28" s="1"/>
      <c r="C28" s="1"/>
      <c r="D28" s="1"/>
      <c r="E28" s="1"/>
      <c r="F28" s="1"/>
      <c r="G28" s="1"/>
      <c r="H28" s="1"/>
      <c r="I28" s="47"/>
      <c r="J28" s="1"/>
    </row>
    <row r="29" spans="2:10" ht="13.9" x14ac:dyDescent="0.25">
      <c r="B29" s="50"/>
      <c r="C29" s="44" t="s">
        <v>78</v>
      </c>
      <c r="D29" s="44" t="s">
        <v>132</v>
      </c>
      <c r="E29" s="44" t="s">
        <v>131</v>
      </c>
      <c r="F29" s="44" t="s">
        <v>79</v>
      </c>
      <c r="G29" s="44" t="s">
        <v>80</v>
      </c>
      <c r="H29" s="44" t="s">
        <v>81</v>
      </c>
      <c r="I29" s="1"/>
      <c r="J29" s="1"/>
    </row>
    <row r="30" spans="2:10" ht="14.45" x14ac:dyDescent="0.3">
      <c r="B30" s="69" t="s">
        <v>72</v>
      </c>
      <c r="C30" s="69">
        <v>2.4711411653284276</v>
      </c>
      <c r="D30" s="69">
        <v>0.65741843022962421</v>
      </c>
      <c r="E30" s="69">
        <v>3.7588559305605465</v>
      </c>
      <c r="F30" s="69">
        <v>5.5534107748117017E-3</v>
      </c>
      <c r="G30" s="69">
        <v>0.95513154665948208</v>
      </c>
      <c r="H30" s="69">
        <v>3.9871507839973734</v>
      </c>
      <c r="I30" s="1"/>
      <c r="J30" s="1"/>
    </row>
    <row r="31" spans="2:10" thickBot="1" x14ac:dyDescent="0.35">
      <c r="B31" s="70" t="s">
        <v>82</v>
      </c>
      <c r="C31" s="70">
        <v>1.766276363886542E-5</v>
      </c>
      <c r="D31" s="70">
        <v>1.61172830149429E-5</v>
      </c>
      <c r="E31" s="70">
        <v>1.0958896497933088</v>
      </c>
      <c r="F31" s="70">
        <v>0.30501810630230602</v>
      </c>
      <c r="G31" s="70">
        <v>-1.9503757641848794E-5</v>
      </c>
      <c r="H31" s="70">
        <v>5.4829284919579635E-5</v>
      </c>
      <c r="I31" s="1"/>
      <c r="J31" s="1"/>
    </row>
    <row r="32" spans="2:10" ht="13.9" x14ac:dyDescent="0.25">
      <c r="B32" s="51"/>
      <c r="C32" s="52"/>
      <c r="D32" s="52"/>
      <c r="E32" s="1"/>
      <c r="F32" s="1"/>
      <c r="G32" s="1"/>
      <c r="H32" s="1"/>
      <c r="I32" s="1"/>
      <c r="J32" s="1"/>
    </row>
    <row r="33" spans="2:10" ht="13.9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3.9" x14ac:dyDescent="0.25">
      <c r="B34" s="51" t="s">
        <v>65</v>
      </c>
      <c r="C34" s="54"/>
      <c r="D34" s="1"/>
      <c r="E34" s="1"/>
      <c r="F34" s="1"/>
      <c r="G34" s="1"/>
      <c r="H34" s="1"/>
      <c r="I34" s="1"/>
      <c r="J34" s="1"/>
    </row>
    <row r="35" spans="2:10" ht="14.45" x14ac:dyDescent="0.3">
      <c r="B35" s="69" t="s">
        <v>66</v>
      </c>
      <c r="C35" s="69">
        <v>0.36128499155388177</v>
      </c>
      <c r="D35" s="1"/>
      <c r="E35" s="1"/>
      <c r="F35" s="1"/>
      <c r="G35" s="1"/>
      <c r="H35" s="1"/>
      <c r="I35" s="1"/>
      <c r="J35" s="1"/>
    </row>
    <row r="36" spans="2:10" ht="14.45" x14ac:dyDescent="0.3">
      <c r="B36" s="69" t="s">
        <v>67</v>
      </c>
      <c r="C36" s="69">
        <v>0.13052684512208843</v>
      </c>
      <c r="D36" s="1"/>
      <c r="E36" s="1"/>
      <c r="F36" s="1"/>
      <c r="G36" s="1"/>
      <c r="H36" s="1"/>
      <c r="I36" s="1"/>
      <c r="J36" s="1"/>
    </row>
    <row r="37" spans="2:10" ht="14.45" x14ac:dyDescent="0.3">
      <c r="B37" s="69" t="s">
        <v>129</v>
      </c>
      <c r="C37" s="69">
        <v>2.1842700762349482E-2</v>
      </c>
      <c r="D37" s="1"/>
      <c r="E37" s="1"/>
      <c r="F37" s="1"/>
      <c r="G37" s="1"/>
      <c r="H37" s="1"/>
      <c r="I37" s="1"/>
      <c r="J37" s="1"/>
    </row>
    <row r="38" spans="2:10" ht="14.45" x14ac:dyDescent="0.3">
      <c r="B38" s="69" t="s">
        <v>130</v>
      </c>
      <c r="C38" s="69">
        <v>6.3872498547783652E-2</v>
      </c>
      <c r="D38" s="1"/>
      <c r="E38" s="1"/>
      <c r="F38" s="1"/>
      <c r="G38" s="1"/>
      <c r="H38" s="1"/>
      <c r="I38" s="1"/>
      <c r="J38" s="1"/>
    </row>
    <row r="39" spans="2:10" thickBot="1" x14ac:dyDescent="0.35">
      <c r="B39" s="70" t="s">
        <v>68</v>
      </c>
      <c r="C39" s="70">
        <v>10</v>
      </c>
      <c r="D39" s="1"/>
      <c r="E39" s="1"/>
      <c r="F39" s="1"/>
      <c r="G39" s="1"/>
      <c r="H39" s="1"/>
      <c r="I39" s="1"/>
      <c r="J39" s="1"/>
    </row>
    <row r="40" spans="2:10" ht="13.9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3.9" x14ac:dyDescent="0.25">
      <c r="B41" s="1"/>
    </row>
    <row r="42" spans="2:10" x14ac:dyDescent="0.25">
      <c r="B42" s="1"/>
    </row>
  </sheetData>
  <pageMargins left="0.2" right="0.2" top="0.75" bottom="0.75" header="0.3" footer="0.3"/>
  <pageSetup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topLeftCell="A62" zoomScale="145" zoomScaleNormal="145" workbookViewId="0">
      <selection activeCell="A63" sqref="A63"/>
    </sheetView>
  </sheetViews>
  <sheetFormatPr defaultColWidth="9.140625" defaultRowHeight="11.25" outlineLevelRow="1" x14ac:dyDescent="0.2"/>
  <cols>
    <col min="1" max="1" width="2.7109375" style="23" bestFit="1" customWidth="1"/>
    <col min="2" max="2" width="1.5703125" style="23" bestFit="1" customWidth="1"/>
    <col min="3" max="3" width="25.5703125" style="23" customWidth="1"/>
    <col min="4" max="4" width="11.28515625" style="24" bestFit="1" customWidth="1"/>
    <col min="5" max="6" width="9.140625" style="21" customWidth="1"/>
    <col min="7" max="8" width="8.7109375" style="21" bestFit="1" customWidth="1"/>
    <col min="9" max="9" width="8.7109375" style="23" bestFit="1" customWidth="1"/>
    <col min="10" max="10" width="8.7109375" style="23" customWidth="1"/>
    <col min="11" max="11" width="8.7109375" style="23" bestFit="1" customWidth="1"/>
    <col min="12" max="16384" width="9.140625" style="23"/>
  </cols>
  <sheetData>
    <row r="1" spans="1:11" x14ac:dyDescent="0.2">
      <c r="K1" s="25"/>
    </row>
    <row r="2" spans="1:11" x14ac:dyDescent="0.2">
      <c r="K2" s="25" t="s">
        <v>56</v>
      </c>
    </row>
    <row r="3" spans="1:11" x14ac:dyDescent="0.2">
      <c r="K3" s="25" t="s">
        <v>158</v>
      </c>
    </row>
    <row r="4" spans="1:11" x14ac:dyDescent="0.2">
      <c r="K4" s="25" t="s">
        <v>85</v>
      </c>
    </row>
    <row r="6" spans="1:11" ht="10.15" customHeight="1" x14ac:dyDescent="0.2">
      <c r="E6" s="97" t="s">
        <v>154</v>
      </c>
      <c r="F6" s="97"/>
      <c r="G6" s="97"/>
      <c r="H6" s="97"/>
      <c r="I6" s="97"/>
      <c r="J6" s="97"/>
      <c r="K6" s="97"/>
    </row>
    <row r="8" spans="1:11" x14ac:dyDescent="0.2">
      <c r="E8" s="25" t="s">
        <v>51</v>
      </c>
      <c r="F8" s="25" t="s">
        <v>51</v>
      </c>
      <c r="G8" s="25" t="s">
        <v>53</v>
      </c>
      <c r="H8" s="25" t="s">
        <v>49</v>
      </c>
      <c r="I8" s="25" t="s">
        <v>120</v>
      </c>
      <c r="J8" s="25" t="s">
        <v>120</v>
      </c>
      <c r="K8" s="25" t="s">
        <v>120</v>
      </c>
    </row>
    <row r="9" spans="1:11" x14ac:dyDescent="0.2">
      <c r="C9" s="26" t="s">
        <v>29</v>
      </c>
      <c r="D9" s="27" t="s">
        <v>30</v>
      </c>
      <c r="E9" s="24" t="s">
        <v>52</v>
      </c>
      <c r="F9" s="24" t="s">
        <v>52</v>
      </c>
      <c r="G9" s="24" t="s">
        <v>54</v>
      </c>
      <c r="H9" s="24" t="s">
        <v>50</v>
      </c>
      <c r="I9" s="24" t="s">
        <v>48</v>
      </c>
      <c r="J9" s="24" t="s">
        <v>48</v>
      </c>
      <c r="K9" s="24" t="s">
        <v>48</v>
      </c>
    </row>
    <row r="10" spans="1:11" outlineLevel="1" x14ac:dyDescent="0.2">
      <c r="A10" s="23">
        <v>1</v>
      </c>
      <c r="B10" s="23" t="s">
        <v>28</v>
      </c>
      <c r="C10" s="23" t="s">
        <v>0</v>
      </c>
      <c r="E10" s="89">
        <v>2186044</v>
      </c>
      <c r="F10" s="89">
        <v>2186044</v>
      </c>
      <c r="G10" s="89">
        <v>439176</v>
      </c>
      <c r="H10" s="89">
        <v>431419</v>
      </c>
      <c r="I10" s="89">
        <v>695520</v>
      </c>
      <c r="J10" s="89">
        <v>695520</v>
      </c>
      <c r="K10" s="89">
        <v>695520</v>
      </c>
    </row>
    <row r="11" spans="1:11" outlineLevel="1" x14ac:dyDescent="0.2">
      <c r="A11" s="23">
        <v>2</v>
      </c>
      <c r="B11" s="23" t="s">
        <v>28</v>
      </c>
      <c r="C11" s="23" t="s">
        <v>1</v>
      </c>
      <c r="E11" s="89">
        <v>5141214</v>
      </c>
      <c r="F11" s="89">
        <v>5141214</v>
      </c>
      <c r="G11" s="89">
        <v>1869394</v>
      </c>
      <c r="H11" s="89">
        <v>1542094</v>
      </c>
      <c r="I11" s="89">
        <v>5046077</v>
      </c>
      <c r="J11" s="89">
        <v>5046077</v>
      </c>
      <c r="K11" s="89">
        <v>5046077</v>
      </c>
    </row>
    <row r="12" spans="1:11" outlineLevel="1" x14ac:dyDescent="0.2">
      <c r="A12" s="23">
        <v>3</v>
      </c>
      <c r="B12" s="23" t="s">
        <v>28</v>
      </c>
      <c r="C12" s="23" t="s">
        <v>2</v>
      </c>
      <c r="E12" s="89">
        <v>1545146</v>
      </c>
      <c r="F12" s="89">
        <v>1545146</v>
      </c>
      <c r="G12" s="89">
        <v>646787</v>
      </c>
      <c r="H12" s="89">
        <v>601905</v>
      </c>
      <c r="I12" s="89">
        <v>1885142</v>
      </c>
      <c r="J12" s="89">
        <v>1885142</v>
      </c>
      <c r="K12" s="89">
        <v>1885142</v>
      </c>
    </row>
    <row r="13" spans="1:11" s="22" customFormat="1" outlineLevel="1" x14ac:dyDescent="0.2">
      <c r="A13" s="28">
        <v>4</v>
      </c>
      <c r="B13" s="22" t="s">
        <v>28</v>
      </c>
      <c r="C13" s="22" t="s">
        <v>3</v>
      </c>
      <c r="D13" s="31"/>
      <c r="E13" s="22">
        <f t="shared" ref="E13:F13" si="0">E10/((E11+E12)-E10)</f>
        <v>0.48575344486920474</v>
      </c>
      <c r="F13" s="22">
        <f t="shared" si="0"/>
        <v>0.48575344486920474</v>
      </c>
      <c r="G13" s="22">
        <f t="shared" ref="G13:K13" si="1">G10/((G11+G12)-G10)</f>
        <v>0.21144677071071086</v>
      </c>
      <c r="H13" s="22">
        <f t="shared" ref="H13" si="2">H10/((H11+H12)-H10)</f>
        <v>0.25191173551016594</v>
      </c>
      <c r="I13" s="22">
        <f t="shared" ref="I13" si="3">I10/((I11+I12)-I10)</f>
        <v>0.11153841774594957</v>
      </c>
      <c r="J13" s="22">
        <f>J10/((J11+J12)-J10)</f>
        <v>0.11153841774594957</v>
      </c>
      <c r="K13" s="22">
        <f t="shared" si="1"/>
        <v>0.11153841774594957</v>
      </c>
    </row>
    <row r="14" spans="1:11" s="22" customFormat="1" outlineLevel="1" x14ac:dyDescent="0.2">
      <c r="A14" s="28">
        <v>5</v>
      </c>
      <c r="B14" s="22" t="s">
        <v>28</v>
      </c>
      <c r="C14" s="22" t="s">
        <v>33</v>
      </c>
      <c r="D14" s="31"/>
      <c r="E14" s="22">
        <v>9.4600000000000004E-2</v>
      </c>
      <c r="F14" s="22">
        <v>9.4600000000000004E-2</v>
      </c>
      <c r="G14" s="22">
        <v>9.4600000000000004E-2</v>
      </c>
      <c r="H14" s="22">
        <v>9.4600000000000004E-2</v>
      </c>
      <c r="I14" s="22">
        <v>9.4600000000000004E-2</v>
      </c>
      <c r="J14" s="22">
        <v>9.4600000000000004E-2</v>
      </c>
      <c r="K14" s="22">
        <v>9.4600000000000004E-2</v>
      </c>
    </row>
    <row r="15" spans="1:11" s="19" customFormat="1" outlineLevel="1" x14ac:dyDescent="0.2">
      <c r="A15" s="19">
        <v>6</v>
      </c>
      <c r="B15" s="19" t="s">
        <v>28</v>
      </c>
      <c r="C15" s="19" t="s">
        <v>34</v>
      </c>
      <c r="D15" s="32"/>
      <c r="E15" s="90">
        <v>14986</v>
      </c>
      <c r="F15" s="90">
        <v>14986</v>
      </c>
      <c r="G15" s="90">
        <v>6012</v>
      </c>
      <c r="H15" s="90">
        <v>6012</v>
      </c>
      <c r="I15" s="90">
        <v>7999</v>
      </c>
      <c r="J15" s="90">
        <v>26105</v>
      </c>
      <c r="K15" s="90">
        <v>26105</v>
      </c>
    </row>
    <row r="16" spans="1:11" s="19" customFormat="1" outlineLevel="1" x14ac:dyDescent="0.2">
      <c r="A16" s="19">
        <v>7</v>
      </c>
      <c r="B16" s="19" t="s">
        <v>28</v>
      </c>
      <c r="C16" s="19" t="s">
        <v>35</v>
      </c>
      <c r="D16" s="32"/>
      <c r="E16" s="90">
        <v>13916</v>
      </c>
      <c r="F16" s="90">
        <v>13916</v>
      </c>
      <c r="G16" s="90">
        <v>5260</v>
      </c>
      <c r="H16" s="90">
        <v>5260</v>
      </c>
      <c r="I16" s="90">
        <v>7700</v>
      </c>
      <c r="J16" s="90">
        <v>24094</v>
      </c>
      <c r="K16" s="90">
        <v>24094</v>
      </c>
    </row>
    <row r="17" spans="1:11" outlineLevel="1" x14ac:dyDescent="0.2">
      <c r="A17" s="23">
        <v>8</v>
      </c>
      <c r="B17" s="23" t="s">
        <v>28</v>
      </c>
      <c r="C17" s="23" t="s">
        <v>4</v>
      </c>
      <c r="E17" s="22">
        <f t="shared" ref="E17:F17" si="4">E15/E16-1</f>
        <v>7.6889910893934932E-2</v>
      </c>
      <c r="F17" s="22">
        <f t="shared" si="4"/>
        <v>7.6889910893934932E-2</v>
      </c>
      <c r="G17" s="22">
        <f t="shared" ref="G17:K17" si="5">G15/G16-1</f>
        <v>0.14296577946768063</v>
      </c>
      <c r="H17" s="22">
        <f t="shared" ref="H17" si="6">H15/H16-1</f>
        <v>0.14296577946768063</v>
      </c>
      <c r="I17" s="22">
        <f t="shared" ref="I17" si="7">I15/I16-1</f>
        <v>3.8831168831168883E-2</v>
      </c>
      <c r="J17" s="22">
        <f>J15/J16-1</f>
        <v>8.3464763011538157E-2</v>
      </c>
      <c r="K17" s="22">
        <f t="shared" si="5"/>
        <v>8.3464763011538157E-2</v>
      </c>
    </row>
    <row r="18" spans="1:11" x14ac:dyDescent="0.2">
      <c r="I18" s="21"/>
      <c r="J18" s="21"/>
      <c r="K18" s="21"/>
    </row>
    <row r="19" spans="1:11" x14ac:dyDescent="0.2">
      <c r="C19" s="23" t="s">
        <v>5</v>
      </c>
      <c r="E19" s="25" t="s">
        <v>55</v>
      </c>
      <c r="F19" s="25" t="s">
        <v>137</v>
      </c>
      <c r="G19" s="25" t="s">
        <v>137</v>
      </c>
      <c r="H19" s="25" t="s">
        <v>55</v>
      </c>
      <c r="I19" s="25" t="s">
        <v>55</v>
      </c>
      <c r="J19" s="25" t="s">
        <v>55</v>
      </c>
      <c r="K19" s="25" t="s">
        <v>137</v>
      </c>
    </row>
    <row r="20" spans="1:11" s="19" customFormat="1" x14ac:dyDescent="0.2">
      <c r="C20" s="20" t="s">
        <v>11</v>
      </c>
      <c r="D20" s="33"/>
      <c r="E20" s="20">
        <v>40</v>
      </c>
      <c r="F20" s="20">
        <v>416</v>
      </c>
      <c r="G20" s="20">
        <v>415</v>
      </c>
      <c r="H20" s="20">
        <v>40</v>
      </c>
      <c r="I20" s="20">
        <v>40</v>
      </c>
      <c r="J20" s="20">
        <v>40</v>
      </c>
      <c r="K20" s="20">
        <v>416</v>
      </c>
    </row>
    <row r="21" spans="1:11" outlineLevel="1" x14ac:dyDescent="0.2">
      <c r="A21" s="23">
        <v>9</v>
      </c>
      <c r="B21" s="23" t="s">
        <v>28</v>
      </c>
      <c r="C21" s="23" t="s">
        <v>1</v>
      </c>
      <c r="D21" s="25"/>
      <c r="E21" s="89">
        <v>1051828</v>
      </c>
      <c r="F21" s="89">
        <v>162264</v>
      </c>
      <c r="G21" s="89">
        <v>422703</v>
      </c>
      <c r="H21" s="89">
        <v>1391281</v>
      </c>
      <c r="I21" s="89">
        <v>1427882</v>
      </c>
      <c r="J21" s="89">
        <v>2889229</v>
      </c>
      <c r="K21" s="89">
        <v>411473</v>
      </c>
    </row>
    <row r="22" spans="1:11" s="26" customFormat="1" outlineLevel="1" x14ac:dyDescent="0.2">
      <c r="A22" s="23">
        <v>10</v>
      </c>
      <c r="B22" s="23" t="s">
        <v>28</v>
      </c>
      <c r="C22" s="26" t="s">
        <v>6</v>
      </c>
      <c r="D22" s="34"/>
      <c r="E22" s="91">
        <v>21807</v>
      </c>
      <c r="F22" s="91">
        <v>2734</v>
      </c>
      <c r="G22" s="91">
        <v>17442</v>
      </c>
      <c r="H22" s="91">
        <v>53335</v>
      </c>
      <c r="I22" s="91">
        <v>32255</v>
      </c>
      <c r="J22" s="91">
        <v>68922</v>
      </c>
      <c r="K22" s="91">
        <v>14477</v>
      </c>
    </row>
    <row r="23" spans="1:11" outlineLevel="1" x14ac:dyDescent="0.2">
      <c r="A23" s="23">
        <v>11</v>
      </c>
      <c r="B23" s="23" t="s">
        <v>28</v>
      </c>
      <c r="C23" s="23" t="s">
        <v>7</v>
      </c>
      <c r="D23" s="25"/>
      <c r="E23" s="21">
        <f t="shared" ref="E23:F23" si="8">E21-E22</f>
        <v>1030021</v>
      </c>
      <c r="F23" s="21">
        <f t="shared" si="8"/>
        <v>159530</v>
      </c>
      <c r="G23" s="21">
        <f t="shared" ref="G23:K23" si="9">G21-G22</f>
        <v>405261</v>
      </c>
      <c r="H23" s="21">
        <f t="shared" si="9"/>
        <v>1337946</v>
      </c>
      <c r="I23" s="21">
        <f t="shared" si="9"/>
        <v>1395627</v>
      </c>
      <c r="J23" s="21">
        <f>J21-J22</f>
        <v>2820307</v>
      </c>
      <c r="K23" s="21">
        <f t="shared" si="9"/>
        <v>396996</v>
      </c>
    </row>
    <row r="24" spans="1:11" outlineLevel="1" x14ac:dyDescent="0.2">
      <c r="A24" s="23">
        <v>12</v>
      </c>
      <c r="B24" s="23" t="s">
        <v>28</v>
      </c>
      <c r="C24" s="23" t="s">
        <v>31</v>
      </c>
      <c r="D24" s="25"/>
      <c r="E24" s="29">
        <f t="shared" ref="E24:F24" si="10">E23/E32</f>
        <v>382.33890126206387</v>
      </c>
      <c r="F24" s="29">
        <f t="shared" si="10"/>
        <v>380.7398568019093</v>
      </c>
      <c r="G24" s="29">
        <f t="shared" ref="G24:K24" si="11">G23/G32</f>
        <v>197.49561403508773</v>
      </c>
      <c r="H24" s="29">
        <f t="shared" si="11"/>
        <v>1468.6564215148189</v>
      </c>
      <c r="I24" s="29">
        <f t="shared" si="11"/>
        <v>359.04990995626446</v>
      </c>
      <c r="J24" s="29">
        <f>J23/J32</f>
        <v>550.08913594694752</v>
      </c>
      <c r="K24" s="29">
        <f t="shared" si="11"/>
        <v>927.56074766355141</v>
      </c>
    </row>
    <row r="25" spans="1:11" outlineLevel="1" x14ac:dyDescent="0.2">
      <c r="A25" s="23">
        <v>13</v>
      </c>
      <c r="B25" s="23" t="s">
        <v>28</v>
      </c>
      <c r="C25" s="23" t="s">
        <v>8</v>
      </c>
      <c r="D25" s="25"/>
      <c r="E25" s="21">
        <f t="shared" ref="E25:F25" si="12">E23*(1+E13)*(1+E14)*(1+E17)</f>
        <v>1803929.567786834</v>
      </c>
      <c r="F25" s="21">
        <f t="shared" si="12"/>
        <v>279393.22008874925</v>
      </c>
      <c r="G25" s="21">
        <f t="shared" ref="G25:K25" si="13">G23*(1+G13)*(1+G14)*(1+G17)</f>
        <v>614225.46800909599</v>
      </c>
      <c r="H25" s="21">
        <f t="shared" si="13"/>
        <v>2095564.18621498</v>
      </c>
      <c r="I25" s="21">
        <f t="shared" si="13"/>
        <v>1763982.4333109169</v>
      </c>
      <c r="J25" s="21">
        <f>J23*(1+J13)*(1+J14)*(1+J17)</f>
        <v>3717843.4473059415</v>
      </c>
      <c r="K25" s="21">
        <f t="shared" si="13"/>
        <v>523336.28119444783</v>
      </c>
    </row>
    <row r="26" spans="1:11" outlineLevel="1" x14ac:dyDescent="0.2">
      <c r="A26" s="23">
        <v>14</v>
      </c>
      <c r="B26" s="23" t="s">
        <v>28</v>
      </c>
      <c r="C26" s="23" t="s">
        <v>32</v>
      </c>
      <c r="D26" s="25"/>
      <c r="E26" s="21">
        <f t="shared" ref="E26:F26" si="14">E25*E48/E32</f>
        <v>907321.66456984414</v>
      </c>
      <c r="F26" s="21">
        <f t="shared" si="14"/>
        <v>140030.01484161656</v>
      </c>
      <c r="G26" s="21">
        <f t="shared" ref="G26:K26" si="15">G25*G48/G32</f>
        <v>28137.034109578468</v>
      </c>
      <c r="H26" s="21">
        <f t="shared" si="15"/>
        <v>947719.47828822362</v>
      </c>
      <c r="I26" s="21">
        <f t="shared" si="15"/>
        <v>1531174.8726501244</v>
      </c>
      <c r="J26" s="21">
        <f>J25*J48/J32</f>
        <v>1809248.956705349</v>
      </c>
      <c r="K26" s="21">
        <f t="shared" si="15"/>
        <v>194416.98296709626</v>
      </c>
    </row>
    <row r="27" spans="1:11" outlineLevel="1" x14ac:dyDescent="0.2">
      <c r="A27" s="23">
        <v>15</v>
      </c>
      <c r="B27" s="23" t="s">
        <v>28</v>
      </c>
      <c r="C27" s="23" t="s">
        <v>36</v>
      </c>
      <c r="D27" s="30"/>
      <c r="E27" s="30">
        <f t="shared" ref="E27:F27" si="16">E26/E52</f>
        <v>29.815703216123168</v>
      </c>
      <c r="F27" s="30">
        <f t="shared" si="16"/>
        <v>14.282947250266886</v>
      </c>
      <c r="G27" s="30">
        <f t="shared" ref="G27:K27" si="17">G26/G52</f>
        <v>4.6423088780033765</v>
      </c>
      <c r="H27" s="30">
        <f t="shared" si="17"/>
        <v>117.91955683566302</v>
      </c>
      <c r="I27" s="30">
        <f t="shared" si="17"/>
        <v>22.576374519331846</v>
      </c>
      <c r="J27" s="30">
        <f>J26/J52</f>
        <v>29.932647685549419</v>
      </c>
      <c r="K27" s="30">
        <f t="shared" si="17"/>
        <v>27.588616853568364</v>
      </c>
    </row>
    <row r="28" spans="1:11" outlineLevel="1" x14ac:dyDescent="0.2">
      <c r="A28" s="23">
        <v>16</v>
      </c>
      <c r="B28" s="23" t="s">
        <v>28</v>
      </c>
      <c r="C28" s="23" t="s">
        <v>9</v>
      </c>
      <c r="D28" s="31">
        <f>SUM(E28:K28)</f>
        <v>1</v>
      </c>
      <c r="E28" s="35">
        <f t="shared" ref="E28:F28" si="18">E51/$D51</f>
        <v>0.1114404267931239</v>
      </c>
      <c r="F28" s="35">
        <f t="shared" si="18"/>
        <v>2.1784232365145227E-2</v>
      </c>
      <c r="G28" s="35">
        <f t="shared" ref="G28:K28" si="19">G51/$D51</f>
        <v>4.5465323058684053E-2</v>
      </c>
      <c r="H28" s="35">
        <f t="shared" si="19"/>
        <v>2.943094250148192E-2</v>
      </c>
      <c r="I28" s="35">
        <f t="shared" si="19"/>
        <v>9.6176644931831659E-2</v>
      </c>
      <c r="J28" s="35">
        <f>J51/$D51</f>
        <v>0.61081802015411979</v>
      </c>
      <c r="K28" s="35">
        <f t="shared" si="19"/>
        <v>8.4884410195613519E-2</v>
      </c>
    </row>
    <row r="29" spans="1:11" x14ac:dyDescent="0.2">
      <c r="A29" s="23">
        <v>17</v>
      </c>
      <c r="B29" s="23" t="s">
        <v>28</v>
      </c>
      <c r="C29" s="23" t="s">
        <v>10</v>
      </c>
      <c r="D29" s="71">
        <f>SUM(E29:K29)</f>
        <v>30.111929526187893</v>
      </c>
      <c r="E29" s="30">
        <f t="shared" ref="E29:F29" si="20">E27*E28</f>
        <v>3.3226746915418826</v>
      </c>
      <c r="F29" s="30">
        <f t="shared" si="20"/>
        <v>0.31114304175892593</v>
      </c>
      <c r="G29" s="30">
        <f t="shared" ref="G29:K29" si="21">G27*G28</f>
        <v>0.2110640728766206</v>
      </c>
      <c r="H29" s="30">
        <f t="shared" si="21"/>
        <v>3.4704836970306276</v>
      </c>
      <c r="I29" s="30">
        <f t="shared" si="21"/>
        <v>2.1713199559938308</v>
      </c>
      <c r="J29" s="30">
        <f>J27*J28</f>
        <v>18.283400597258094</v>
      </c>
      <c r="K29" s="30">
        <f t="shared" si="21"/>
        <v>2.3418434697279134</v>
      </c>
    </row>
    <row r="30" spans="1:11" x14ac:dyDescent="0.2">
      <c r="I30" s="21"/>
      <c r="J30" s="21"/>
      <c r="K30" s="21"/>
    </row>
    <row r="31" spans="1:11" x14ac:dyDescent="0.2">
      <c r="C31" s="26" t="s">
        <v>26</v>
      </c>
      <c r="I31" s="21"/>
      <c r="J31" s="21"/>
      <c r="K31" s="21"/>
    </row>
    <row r="32" spans="1:11" hidden="1" outlineLevel="1" x14ac:dyDescent="0.2">
      <c r="A32" s="23">
        <v>18</v>
      </c>
      <c r="B32" s="23" t="s">
        <v>28</v>
      </c>
      <c r="C32" s="23" t="s">
        <v>27</v>
      </c>
      <c r="D32" s="32"/>
      <c r="E32" s="90">
        <v>2694</v>
      </c>
      <c r="F32" s="90">
        <v>419</v>
      </c>
      <c r="G32" s="90">
        <v>2052</v>
      </c>
      <c r="H32" s="90">
        <v>911</v>
      </c>
      <c r="I32" s="90">
        <v>3887</v>
      </c>
      <c r="J32" s="90">
        <v>5127</v>
      </c>
      <c r="K32" s="90">
        <v>428</v>
      </c>
    </row>
    <row r="33" spans="1:11" hidden="1" outlineLevel="1" x14ac:dyDescent="0.2">
      <c r="A33" s="23">
        <v>19</v>
      </c>
      <c r="B33" s="23" t="s">
        <v>28</v>
      </c>
      <c r="C33" s="23" t="s">
        <v>12</v>
      </c>
      <c r="D33" s="32"/>
      <c r="E33" s="90">
        <v>45346</v>
      </c>
      <c r="F33" s="90">
        <v>16426</v>
      </c>
      <c r="G33" s="90">
        <v>105835</v>
      </c>
      <c r="H33" s="90">
        <v>14067</v>
      </c>
      <c r="I33" s="90">
        <v>72859</v>
      </c>
      <c r="J33" s="90">
        <v>36751</v>
      </c>
      <c r="K33" s="90">
        <v>4276</v>
      </c>
    </row>
    <row r="34" spans="1:11" hidden="1" outlineLevel="1" x14ac:dyDescent="0.2">
      <c r="A34" s="23">
        <v>20</v>
      </c>
      <c r="B34" s="23" t="s">
        <v>28</v>
      </c>
      <c r="C34" s="23" t="s">
        <v>13</v>
      </c>
      <c r="D34" s="32"/>
      <c r="E34" s="90">
        <v>6063</v>
      </c>
      <c r="F34" s="90">
        <v>1532</v>
      </c>
      <c r="G34" s="90">
        <v>2334</v>
      </c>
      <c r="H34" s="90">
        <v>1516</v>
      </c>
      <c r="I34" s="90">
        <v>3566</v>
      </c>
      <c r="J34" s="90">
        <v>6281</v>
      </c>
      <c r="K34" s="90">
        <v>1062</v>
      </c>
    </row>
    <row r="35" spans="1:11" s="26" customFormat="1" hidden="1" outlineLevel="1" x14ac:dyDescent="0.2">
      <c r="A35" s="23">
        <v>21</v>
      </c>
      <c r="B35" s="23" t="s">
        <v>28</v>
      </c>
      <c r="C35" s="26" t="s">
        <v>14</v>
      </c>
      <c r="D35" s="32"/>
      <c r="E35" s="92">
        <v>4469</v>
      </c>
      <c r="F35" s="92">
        <v>974</v>
      </c>
      <c r="G35" s="92">
        <v>16502</v>
      </c>
      <c r="H35" s="92">
        <v>1101</v>
      </c>
      <c r="I35" s="92">
        <v>3265</v>
      </c>
      <c r="J35" s="92">
        <v>20610</v>
      </c>
      <c r="K35" s="92">
        <v>2864</v>
      </c>
    </row>
    <row r="36" spans="1:11" hidden="1" outlineLevel="1" x14ac:dyDescent="0.2">
      <c r="A36" s="23">
        <v>22</v>
      </c>
      <c r="B36" s="23" t="s">
        <v>28</v>
      </c>
      <c r="C36" s="23" t="s">
        <v>15</v>
      </c>
      <c r="D36" s="32"/>
      <c r="E36" s="19">
        <f>SUM(E33:E35)</f>
        <v>55878</v>
      </c>
      <c r="F36" s="19">
        <f>SUM(F33:F35)</f>
        <v>18932</v>
      </c>
      <c r="G36" s="19">
        <f t="shared" ref="G36:K36" si="22">SUM(G33:G35)</f>
        <v>124671</v>
      </c>
      <c r="H36" s="19">
        <f t="shared" si="22"/>
        <v>16684</v>
      </c>
      <c r="I36" s="19">
        <f t="shared" si="22"/>
        <v>79690</v>
      </c>
      <c r="J36" s="19">
        <f t="shared" si="22"/>
        <v>63642</v>
      </c>
      <c r="K36" s="19">
        <f t="shared" si="22"/>
        <v>8202</v>
      </c>
    </row>
    <row r="37" spans="1:11" hidden="1" outlineLevel="1" x14ac:dyDescent="0.2">
      <c r="A37" s="23">
        <v>23</v>
      </c>
      <c r="B37" s="23" t="s">
        <v>28</v>
      </c>
      <c r="C37" s="23" t="s">
        <v>16</v>
      </c>
      <c r="D37" s="32"/>
      <c r="E37" s="90">
        <v>218632</v>
      </c>
      <c r="F37" s="90">
        <v>46260</v>
      </c>
      <c r="G37" s="90">
        <v>190244</v>
      </c>
      <c r="H37" s="90">
        <v>71682</v>
      </c>
      <c r="I37" s="90">
        <v>295453</v>
      </c>
      <c r="J37" s="90">
        <v>248731</v>
      </c>
      <c r="K37" s="90">
        <v>20931</v>
      </c>
    </row>
    <row r="38" spans="1:11" hidden="1" outlineLevel="1" x14ac:dyDescent="0.2">
      <c r="A38" s="23">
        <v>24</v>
      </c>
      <c r="B38" s="23" t="s">
        <v>28</v>
      </c>
      <c r="C38" s="23" t="s">
        <v>17</v>
      </c>
      <c r="D38" s="32"/>
      <c r="E38" s="90">
        <v>202235</v>
      </c>
      <c r="F38" s="90">
        <v>66591</v>
      </c>
      <c r="G38" s="90">
        <v>319277</v>
      </c>
      <c r="H38" s="90">
        <v>49740</v>
      </c>
      <c r="I38" s="90">
        <v>182287</v>
      </c>
      <c r="J38" s="90">
        <v>230076</v>
      </c>
      <c r="K38" s="90">
        <v>28257</v>
      </c>
    </row>
    <row r="39" spans="1:11" hidden="1" outlineLevel="1" x14ac:dyDescent="0.2">
      <c r="A39" s="23">
        <v>25</v>
      </c>
      <c r="B39" s="23" t="s">
        <v>28</v>
      </c>
      <c r="C39" s="23" t="s">
        <v>18</v>
      </c>
      <c r="D39" s="32"/>
      <c r="E39" s="90">
        <v>4264</v>
      </c>
      <c r="F39" s="90">
        <v>817</v>
      </c>
      <c r="G39" s="90">
        <v>3263</v>
      </c>
      <c r="H39" s="90">
        <v>1699</v>
      </c>
      <c r="I39" s="90">
        <v>8432</v>
      </c>
      <c r="J39" s="90">
        <v>9112</v>
      </c>
      <c r="K39" s="90">
        <v>671</v>
      </c>
    </row>
    <row r="40" spans="1:11" hidden="1" outlineLevel="1" x14ac:dyDescent="0.2">
      <c r="A40" s="23">
        <v>26</v>
      </c>
      <c r="B40" s="23" t="s">
        <v>28</v>
      </c>
      <c r="C40" s="23" t="s">
        <v>19</v>
      </c>
      <c r="D40" s="32"/>
      <c r="E40" s="19"/>
      <c r="F40" s="19"/>
      <c r="G40" s="19"/>
      <c r="H40" s="19"/>
      <c r="I40" s="19"/>
      <c r="J40" s="19"/>
      <c r="K40" s="19"/>
    </row>
    <row r="41" spans="1:11" hidden="1" outlineLevel="1" x14ac:dyDescent="0.2">
      <c r="A41" s="23">
        <v>27</v>
      </c>
      <c r="B41" s="23" t="s">
        <v>28</v>
      </c>
      <c r="C41" s="23" t="s">
        <v>20</v>
      </c>
      <c r="D41" s="32"/>
      <c r="E41" s="22">
        <f t="shared" ref="E41:K41" si="23">E36/E38</f>
        <v>0.27630232155660495</v>
      </c>
      <c r="F41" s="22">
        <f t="shared" si="23"/>
        <v>0.2843026835458245</v>
      </c>
      <c r="G41" s="22">
        <f t="shared" si="23"/>
        <v>0.39047911374762356</v>
      </c>
      <c r="H41" s="22">
        <f t="shared" si="23"/>
        <v>0.33542420587052674</v>
      </c>
      <c r="I41" s="22">
        <f t="shared" si="23"/>
        <v>0.43716776292330228</v>
      </c>
      <c r="J41" s="22">
        <f t="shared" si="23"/>
        <v>0.27661294528764407</v>
      </c>
      <c r="K41" s="22">
        <f t="shared" si="23"/>
        <v>0.29026435927380828</v>
      </c>
    </row>
    <row r="42" spans="1:11" hidden="1" outlineLevel="1" x14ac:dyDescent="0.2">
      <c r="A42" s="23">
        <v>28</v>
      </c>
      <c r="B42" s="23" t="s">
        <v>28</v>
      </c>
      <c r="C42" s="23" t="s">
        <v>21</v>
      </c>
      <c r="D42" s="32"/>
      <c r="E42" s="19">
        <f t="shared" ref="E42:K42" si="24">E37/E39</f>
        <v>51.273921200750472</v>
      </c>
      <c r="F42" s="19">
        <f t="shared" si="24"/>
        <v>56.621787025703796</v>
      </c>
      <c r="G42" s="19">
        <f t="shared" si="24"/>
        <v>58.303401777505364</v>
      </c>
      <c r="H42" s="19">
        <f t="shared" si="24"/>
        <v>42.190700412007061</v>
      </c>
      <c r="I42" s="19">
        <f t="shared" si="24"/>
        <v>35.039492409867172</v>
      </c>
      <c r="J42" s="19">
        <f t="shared" si="24"/>
        <v>27.297080772607551</v>
      </c>
      <c r="K42" s="19">
        <f t="shared" si="24"/>
        <v>31.193740685543965</v>
      </c>
    </row>
    <row r="43" spans="1:11" hidden="1" outlineLevel="1" x14ac:dyDescent="0.2">
      <c r="A43" s="23">
        <v>29</v>
      </c>
      <c r="B43" s="23" t="s">
        <v>28</v>
      </c>
      <c r="C43" s="23" t="s">
        <v>22</v>
      </c>
      <c r="D43" s="32"/>
      <c r="E43" s="36">
        <f t="shared" ref="E43:K43" si="25">E38/E37</f>
        <v>0.92500182955834465</v>
      </c>
      <c r="F43" s="36">
        <f t="shared" si="25"/>
        <v>1.4394941634241245</v>
      </c>
      <c r="G43" s="36">
        <f t="shared" si="25"/>
        <v>1.678250036794853</v>
      </c>
      <c r="H43" s="36">
        <f t="shared" si="25"/>
        <v>0.6938980497195949</v>
      </c>
      <c r="I43" s="36">
        <f t="shared" si="25"/>
        <v>0.61697461186720048</v>
      </c>
      <c r="J43" s="36">
        <f t="shared" si="25"/>
        <v>0.92499929642867196</v>
      </c>
      <c r="K43" s="36">
        <f t="shared" si="25"/>
        <v>1.3500071664038986</v>
      </c>
    </row>
    <row r="44" spans="1:11" hidden="1" outlineLevel="1" x14ac:dyDescent="0.2">
      <c r="A44" s="23">
        <v>30</v>
      </c>
      <c r="B44" s="23" t="s">
        <v>28</v>
      </c>
      <c r="C44" s="23" t="s">
        <v>23</v>
      </c>
      <c r="D44" s="32"/>
      <c r="E44" s="36">
        <f t="shared" ref="E44:K44" si="26">E36/E37</f>
        <v>0.25558015295107761</v>
      </c>
      <c r="F44" s="36">
        <f t="shared" si="26"/>
        <v>0.40925205361003025</v>
      </c>
      <c r="G44" s="36">
        <f t="shared" si="26"/>
        <v>0.65532158701457077</v>
      </c>
      <c r="H44" s="36">
        <f t="shared" si="26"/>
        <v>0.23275020228230239</v>
      </c>
      <c r="I44" s="36">
        <f t="shared" si="26"/>
        <v>0.26972141085045676</v>
      </c>
      <c r="J44" s="36">
        <f t="shared" si="26"/>
        <v>0.25586677977413352</v>
      </c>
      <c r="K44" s="36">
        <f t="shared" si="26"/>
        <v>0.39185896517127705</v>
      </c>
    </row>
    <row r="45" spans="1:11" hidden="1" outlineLevel="1" x14ac:dyDescent="0.2">
      <c r="A45" s="23">
        <v>31</v>
      </c>
      <c r="B45" s="23" t="s">
        <v>28</v>
      </c>
      <c r="C45" s="23" t="s">
        <v>24</v>
      </c>
      <c r="D45" s="32"/>
      <c r="E45" s="19">
        <f t="shared" ref="E45:K45" si="27">E36/E32</f>
        <v>20.741648106904233</v>
      </c>
      <c r="F45" s="19">
        <f t="shared" si="27"/>
        <v>45.183770883054891</v>
      </c>
      <c r="G45" s="19">
        <f t="shared" si="27"/>
        <v>60.755847953216374</v>
      </c>
      <c r="H45" s="19">
        <f t="shared" si="27"/>
        <v>18.313940724478595</v>
      </c>
      <c r="I45" s="19">
        <f t="shared" si="27"/>
        <v>20.501672240802677</v>
      </c>
      <c r="J45" s="19">
        <f t="shared" si="27"/>
        <v>12.413107080163838</v>
      </c>
      <c r="K45" s="19">
        <f t="shared" si="27"/>
        <v>19.16355140186916</v>
      </c>
    </row>
    <row r="46" spans="1:11" collapsed="1" x14ac:dyDescent="0.2">
      <c r="I46" s="21"/>
      <c r="J46" s="21"/>
      <c r="K46" s="21"/>
    </row>
    <row r="47" spans="1:11" x14ac:dyDescent="0.2">
      <c r="C47" s="26" t="s">
        <v>25</v>
      </c>
      <c r="I47" s="21"/>
      <c r="J47" s="21"/>
      <c r="K47" s="21"/>
    </row>
    <row r="48" spans="1:11" x14ac:dyDescent="0.2">
      <c r="A48" s="23">
        <v>32</v>
      </c>
      <c r="B48" s="23" t="s">
        <v>28</v>
      </c>
      <c r="C48" s="23" t="s">
        <v>27</v>
      </c>
      <c r="D48" s="32"/>
      <c r="E48" s="90">
        <v>1355</v>
      </c>
      <c r="F48" s="90">
        <v>210</v>
      </c>
      <c r="G48" s="90">
        <v>94</v>
      </c>
      <c r="H48" s="90">
        <v>412</v>
      </c>
      <c r="I48" s="90">
        <v>3374</v>
      </c>
      <c r="J48" s="90">
        <v>2495</v>
      </c>
      <c r="K48" s="90">
        <v>159</v>
      </c>
    </row>
    <row r="49" spans="1:11" x14ac:dyDescent="0.2">
      <c r="A49" s="23">
        <v>33</v>
      </c>
      <c r="B49" s="23" t="s">
        <v>28</v>
      </c>
      <c r="C49" s="23" t="s">
        <v>12</v>
      </c>
      <c r="D49" s="32"/>
      <c r="E49" s="90">
        <v>21889</v>
      </c>
      <c r="F49" s="90">
        <v>7961</v>
      </c>
      <c r="G49" s="90">
        <v>4474</v>
      </c>
      <c r="H49" s="90">
        <v>5637</v>
      </c>
      <c r="I49" s="90">
        <v>61108</v>
      </c>
      <c r="J49" s="90">
        <v>33554</v>
      </c>
      <c r="K49" s="90">
        <v>3121</v>
      </c>
    </row>
    <row r="50" spans="1:11" x14ac:dyDescent="0.2">
      <c r="A50" s="23">
        <v>34</v>
      </c>
      <c r="B50" s="23" t="s">
        <v>28</v>
      </c>
      <c r="C50" s="23" t="s">
        <v>13</v>
      </c>
      <c r="D50" s="32"/>
      <c r="E50" s="90">
        <v>4782</v>
      </c>
      <c r="F50" s="90">
        <v>1108</v>
      </c>
      <c r="G50" s="90">
        <v>53</v>
      </c>
      <c r="H50" s="90">
        <v>1407</v>
      </c>
      <c r="I50" s="90">
        <v>3469</v>
      </c>
      <c r="J50" s="90">
        <v>6281</v>
      </c>
      <c r="K50" s="90">
        <v>1062</v>
      </c>
    </row>
    <row r="51" spans="1:11" x14ac:dyDescent="0.2">
      <c r="A51" s="23">
        <v>35</v>
      </c>
      <c r="B51" s="23" t="s">
        <v>28</v>
      </c>
      <c r="C51" s="26" t="s">
        <v>14</v>
      </c>
      <c r="D51" s="32">
        <f>SUM(E51:K51)</f>
        <v>33740</v>
      </c>
      <c r="E51" s="92">
        <v>3760</v>
      </c>
      <c r="F51" s="92">
        <v>735</v>
      </c>
      <c r="G51" s="92">
        <v>1534</v>
      </c>
      <c r="H51" s="92">
        <v>993</v>
      </c>
      <c r="I51" s="92">
        <v>3245</v>
      </c>
      <c r="J51" s="92">
        <v>20609</v>
      </c>
      <c r="K51" s="92">
        <v>2864</v>
      </c>
    </row>
    <row r="52" spans="1:11" x14ac:dyDescent="0.2">
      <c r="A52" s="23">
        <v>36</v>
      </c>
      <c r="B52" s="23" t="s">
        <v>28</v>
      </c>
      <c r="C52" s="23" t="s">
        <v>15</v>
      </c>
      <c r="D52" s="32"/>
      <c r="E52" s="19">
        <f>SUM(E49:E51)</f>
        <v>30431</v>
      </c>
      <c r="F52" s="19">
        <f>SUM(F49:F51)</f>
        <v>9804</v>
      </c>
      <c r="G52" s="19">
        <f t="shared" ref="G52:K52" si="28">SUM(G49:G51)</f>
        <v>6061</v>
      </c>
      <c r="H52" s="19">
        <f t="shared" si="28"/>
        <v>8037</v>
      </c>
      <c r="I52" s="19">
        <f t="shared" si="28"/>
        <v>67822</v>
      </c>
      <c r="J52" s="19">
        <f t="shared" si="28"/>
        <v>60444</v>
      </c>
      <c r="K52" s="19">
        <f t="shared" si="28"/>
        <v>7047</v>
      </c>
    </row>
    <row r="53" spans="1:11" x14ac:dyDescent="0.2">
      <c r="A53" s="23">
        <v>37</v>
      </c>
      <c r="B53" s="23" t="s">
        <v>28</v>
      </c>
      <c r="C53" s="23" t="s">
        <v>16</v>
      </c>
      <c r="D53" s="32">
        <f>SUM(E53:K53)</f>
        <v>661081</v>
      </c>
      <c r="E53" s="90">
        <v>104746</v>
      </c>
      <c r="F53" s="90">
        <v>22350</v>
      </c>
      <c r="G53" s="90">
        <v>8736</v>
      </c>
      <c r="H53" s="90">
        <v>29731</v>
      </c>
      <c r="I53" s="90">
        <v>250995</v>
      </c>
      <c r="J53" s="90">
        <v>227253</v>
      </c>
      <c r="K53" s="90">
        <v>17270</v>
      </c>
    </row>
    <row r="54" spans="1:11" ht="12.75" x14ac:dyDescent="0.2">
      <c r="A54" s="23">
        <v>38</v>
      </c>
      <c r="B54" s="23" t="s">
        <v>28</v>
      </c>
      <c r="C54" s="23" t="s">
        <v>17</v>
      </c>
      <c r="D54" s="66"/>
      <c r="E54" s="90">
        <v>96890</v>
      </c>
      <c r="F54" s="90">
        <v>32160</v>
      </c>
      <c r="G54" s="90">
        <v>14526</v>
      </c>
      <c r="H54" s="90">
        <v>20604</v>
      </c>
      <c r="I54" s="90">
        <v>155576</v>
      </c>
      <c r="J54" s="90">
        <v>210209</v>
      </c>
      <c r="K54" s="90">
        <v>23315</v>
      </c>
    </row>
    <row r="55" spans="1:11" x14ac:dyDescent="0.2">
      <c r="A55" s="23">
        <v>39</v>
      </c>
      <c r="B55" s="23" t="s">
        <v>28</v>
      </c>
      <c r="C55" s="23" t="s">
        <v>18</v>
      </c>
      <c r="D55" s="32">
        <f>SUM(E55:K55)</f>
        <v>17142</v>
      </c>
      <c r="E55" s="90">
        <v>2247</v>
      </c>
      <c r="F55" s="90">
        <v>432</v>
      </c>
      <c r="G55" s="90">
        <v>156</v>
      </c>
      <c r="H55" s="90">
        <v>969</v>
      </c>
      <c r="I55" s="90">
        <v>7362</v>
      </c>
      <c r="J55" s="90">
        <v>5601</v>
      </c>
      <c r="K55" s="90">
        <v>375</v>
      </c>
    </row>
    <row r="56" spans="1:11" ht="12.75" x14ac:dyDescent="0.2">
      <c r="A56" s="23">
        <v>40</v>
      </c>
      <c r="B56" s="23" t="s">
        <v>28</v>
      </c>
      <c r="C56" s="23" t="s">
        <v>19</v>
      </c>
      <c r="D56" s="66"/>
      <c r="E56" s="19"/>
      <c r="F56" s="19"/>
      <c r="G56" s="19"/>
      <c r="H56" s="19"/>
      <c r="I56" s="19"/>
      <c r="J56" s="19"/>
      <c r="K56" s="19"/>
    </row>
    <row r="57" spans="1:11" ht="12.75" x14ac:dyDescent="0.2">
      <c r="A57" s="23">
        <v>41</v>
      </c>
      <c r="B57" s="23" t="s">
        <v>28</v>
      </c>
      <c r="C57" s="23" t="s">
        <v>20</v>
      </c>
      <c r="D57" s="67"/>
      <c r="E57" s="22">
        <f t="shared" ref="E57:G57" si="29">E52/E54</f>
        <v>0.31407782020848385</v>
      </c>
      <c r="F57" s="22">
        <f t="shared" si="29"/>
        <v>0.30485074626865671</v>
      </c>
      <c r="G57" s="22">
        <f t="shared" si="29"/>
        <v>0.41725182431502134</v>
      </c>
      <c r="H57" s="22">
        <f t="shared" ref="H57:K58" si="30">H52/H54</f>
        <v>0.39006988934187536</v>
      </c>
      <c r="I57" s="22">
        <f t="shared" si="30"/>
        <v>0.43594127628940199</v>
      </c>
      <c r="J57" s="22">
        <f>J52/J54</f>
        <v>0.28754239827980727</v>
      </c>
      <c r="K57" s="22">
        <f t="shared" si="30"/>
        <v>0.30225176924726571</v>
      </c>
    </row>
    <row r="58" spans="1:11" x14ac:dyDescent="0.2">
      <c r="A58" s="23">
        <v>42</v>
      </c>
      <c r="B58" s="23" t="s">
        <v>28</v>
      </c>
      <c r="C58" s="23" t="s">
        <v>21</v>
      </c>
      <c r="D58" s="19">
        <f>D53/D55</f>
        <v>38.564986582662463</v>
      </c>
      <c r="E58" s="19">
        <f t="shared" ref="E58:G58" si="31">E53/E55</f>
        <v>46.615932354250113</v>
      </c>
      <c r="F58" s="19">
        <f t="shared" si="31"/>
        <v>51.736111111111114</v>
      </c>
      <c r="G58" s="19">
        <f t="shared" si="31"/>
        <v>56</v>
      </c>
      <c r="H58" s="19">
        <f t="shared" si="30"/>
        <v>30.682146542827656</v>
      </c>
      <c r="I58" s="19">
        <f t="shared" si="30"/>
        <v>34.093317033414834</v>
      </c>
      <c r="J58" s="19">
        <f>J53/J55</f>
        <v>40.573647562935193</v>
      </c>
      <c r="K58" s="19">
        <f t="shared" si="30"/>
        <v>46.053333333333335</v>
      </c>
    </row>
    <row r="59" spans="1:11" x14ac:dyDescent="0.2">
      <c r="A59" s="23">
        <v>43</v>
      </c>
      <c r="B59" s="23" t="s">
        <v>28</v>
      </c>
      <c r="C59" s="23" t="s">
        <v>22</v>
      </c>
      <c r="D59" s="32"/>
      <c r="E59" s="36">
        <f t="shared" ref="E59:G59" si="32">E54/E53</f>
        <v>0.92499952265480301</v>
      </c>
      <c r="F59" s="36">
        <f t="shared" si="32"/>
        <v>1.4389261744966444</v>
      </c>
      <c r="G59" s="36">
        <f t="shared" si="32"/>
        <v>1.6627747252747254</v>
      </c>
      <c r="H59" s="36">
        <f t="shared" ref="H59:K59" si="33">H54/H53</f>
        <v>0.69301402576435367</v>
      </c>
      <c r="I59" s="36">
        <f t="shared" si="33"/>
        <v>0.61983704854678379</v>
      </c>
      <c r="J59" s="36">
        <f>J54/J53</f>
        <v>0.92499988999045113</v>
      </c>
      <c r="K59" s="36">
        <f t="shared" si="33"/>
        <v>1.3500289519397799</v>
      </c>
    </row>
    <row r="60" spans="1:11" x14ac:dyDescent="0.2">
      <c r="A60" s="23">
        <v>44</v>
      </c>
      <c r="B60" s="23" t="s">
        <v>28</v>
      </c>
      <c r="C60" s="23" t="s">
        <v>23</v>
      </c>
      <c r="D60" s="32"/>
      <c r="E60" s="36">
        <f t="shared" ref="E60:G60" si="34">E52/E53</f>
        <v>0.29052183376930862</v>
      </c>
      <c r="F60" s="36">
        <f t="shared" si="34"/>
        <v>0.4386577181208054</v>
      </c>
      <c r="G60" s="36">
        <f t="shared" si="34"/>
        <v>0.69379578754578752</v>
      </c>
      <c r="H60" s="36">
        <f t="shared" ref="H60:K60" si="35">H52/H53</f>
        <v>0.27032390434226899</v>
      </c>
      <c r="I60" s="36">
        <f t="shared" si="35"/>
        <v>0.27021255403494093</v>
      </c>
      <c r="J60" s="36">
        <f>J52/J53</f>
        <v>0.26597668677641217</v>
      </c>
      <c r="K60" s="36">
        <f t="shared" si="35"/>
        <v>0.40804863925883034</v>
      </c>
    </row>
    <row r="61" spans="1:11" x14ac:dyDescent="0.2">
      <c r="A61" s="23">
        <v>45</v>
      </c>
      <c r="B61" s="23" t="s">
        <v>28</v>
      </c>
      <c r="C61" s="23" t="s">
        <v>24</v>
      </c>
      <c r="D61" s="32"/>
      <c r="E61" s="19">
        <f t="shared" ref="E61:G61" si="36">E52/E48</f>
        <v>22.45830258302583</v>
      </c>
      <c r="F61" s="19">
        <f t="shared" si="36"/>
        <v>46.685714285714283</v>
      </c>
      <c r="G61" s="19">
        <f t="shared" si="36"/>
        <v>64.478723404255319</v>
      </c>
      <c r="H61" s="19">
        <f t="shared" ref="H61:K61" si="37">H52/H48</f>
        <v>19.507281553398059</v>
      </c>
      <c r="I61" s="19">
        <f t="shared" si="37"/>
        <v>20.101363366923533</v>
      </c>
      <c r="J61" s="19">
        <f>J52/J48</f>
        <v>24.226052104208417</v>
      </c>
      <c r="K61" s="19">
        <f t="shared" si="37"/>
        <v>44.320754716981135</v>
      </c>
    </row>
  </sheetData>
  <mergeCells count="1">
    <mergeCell ref="E6:K6"/>
  </mergeCells>
  <pageMargins left="0.7" right="0.7" top="0.25" bottom="0.2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opLeftCell="A8" zoomScale="115" zoomScaleNormal="115" workbookViewId="0">
      <selection activeCell="A32" sqref="A32"/>
    </sheetView>
  </sheetViews>
  <sheetFormatPr defaultColWidth="9.140625" defaultRowHeight="15" x14ac:dyDescent="0.25"/>
  <cols>
    <col min="1" max="1" width="3" style="2" bestFit="1" customWidth="1"/>
    <col min="2" max="2" width="1.5703125" style="2" bestFit="1" customWidth="1"/>
    <col min="3" max="3" width="26.140625" style="2" customWidth="1"/>
    <col min="4" max="4" width="11.7109375" style="3" customWidth="1"/>
    <col min="5" max="6" width="11" style="73" bestFit="1" customWidth="1"/>
    <col min="7" max="9" width="9.42578125" style="73" bestFit="1" customWidth="1"/>
    <col min="10" max="10" width="9.42578125" style="2" bestFit="1" customWidth="1"/>
    <col min="11" max="11" width="10.85546875" style="2" customWidth="1"/>
    <col min="12" max="16384" width="9.140625" style="23"/>
  </cols>
  <sheetData>
    <row r="1" spans="1:11" x14ac:dyDescent="0.25">
      <c r="K1" s="74"/>
    </row>
    <row r="2" spans="1:11" x14ac:dyDescent="0.25">
      <c r="K2" s="74" t="s">
        <v>56</v>
      </c>
    </row>
    <row r="3" spans="1:11" x14ac:dyDescent="0.25">
      <c r="K3" s="74" t="s">
        <v>158</v>
      </c>
    </row>
    <row r="4" spans="1:11" x14ac:dyDescent="0.25">
      <c r="K4" s="74" t="s">
        <v>86</v>
      </c>
    </row>
    <row r="6" spans="1:11" x14ac:dyDescent="0.25">
      <c r="D6" s="8" t="s">
        <v>153</v>
      </c>
      <c r="E6" s="75"/>
      <c r="F6" s="75"/>
      <c r="G6" s="75"/>
      <c r="H6" s="75"/>
      <c r="I6" s="75"/>
      <c r="J6" s="8"/>
      <c r="K6" s="8"/>
    </row>
    <row r="10" spans="1:11" x14ac:dyDescent="0.25">
      <c r="C10" s="2" t="s">
        <v>37</v>
      </c>
      <c r="E10" s="74" t="s">
        <v>51</v>
      </c>
      <c r="F10" s="74" t="s">
        <v>51</v>
      </c>
      <c r="G10" s="74" t="s">
        <v>53</v>
      </c>
      <c r="H10" s="74" t="s">
        <v>49</v>
      </c>
      <c r="I10" s="74" t="s">
        <v>120</v>
      </c>
      <c r="J10" s="74" t="s">
        <v>120</v>
      </c>
      <c r="K10" s="74" t="s">
        <v>120</v>
      </c>
    </row>
    <row r="11" spans="1:11" x14ac:dyDescent="0.25">
      <c r="C11" s="2" t="s">
        <v>5</v>
      </c>
      <c r="D11" s="5"/>
      <c r="E11" s="3" t="s">
        <v>52</v>
      </c>
      <c r="F11" s="3" t="s">
        <v>52</v>
      </c>
      <c r="G11" s="3" t="s">
        <v>54</v>
      </c>
      <c r="H11" s="3" t="s">
        <v>50</v>
      </c>
      <c r="I11" s="3" t="s">
        <v>48</v>
      </c>
      <c r="J11" s="3" t="s">
        <v>48</v>
      </c>
      <c r="K11" s="3" t="s">
        <v>48</v>
      </c>
    </row>
    <row r="12" spans="1:11" s="19" customFormat="1" x14ac:dyDescent="0.25">
      <c r="A12" s="15"/>
      <c r="B12" s="15"/>
      <c r="C12" s="16" t="s">
        <v>11</v>
      </c>
      <c r="D12" s="76" t="s">
        <v>30</v>
      </c>
      <c r="E12" s="16">
        <v>40</v>
      </c>
      <c r="F12" s="16">
        <v>416</v>
      </c>
      <c r="G12" s="16">
        <v>40</v>
      </c>
      <c r="H12" s="16">
        <v>40</v>
      </c>
      <c r="I12" s="16">
        <v>40</v>
      </c>
      <c r="J12" s="16">
        <v>42</v>
      </c>
      <c r="K12" s="16">
        <v>416</v>
      </c>
    </row>
    <row r="13" spans="1:11" x14ac:dyDescent="0.25">
      <c r="A13" s="2">
        <v>1</v>
      </c>
      <c r="B13" s="2" t="s">
        <v>28</v>
      </c>
      <c r="C13" s="2" t="s">
        <v>126</v>
      </c>
      <c r="D13" s="73"/>
      <c r="E13" s="87">
        <v>249311</v>
      </c>
      <c r="F13" s="87">
        <v>120456</v>
      </c>
      <c r="G13" s="87">
        <v>132816</v>
      </c>
      <c r="H13" s="87">
        <v>347156</v>
      </c>
      <c r="I13" s="87">
        <v>767336</v>
      </c>
      <c r="J13" s="87">
        <v>156277</v>
      </c>
      <c r="K13" s="87">
        <v>52832</v>
      </c>
    </row>
    <row r="14" spans="1:11" x14ac:dyDescent="0.25">
      <c r="A14" s="2">
        <f>A13+1</f>
        <v>2</v>
      </c>
      <c r="B14" s="2" t="s">
        <v>28</v>
      </c>
      <c r="C14" s="2" t="s">
        <v>127</v>
      </c>
      <c r="D14" s="15"/>
      <c r="E14" s="88">
        <v>61401</v>
      </c>
      <c r="F14" s="88">
        <v>47374</v>
      </c>
      <c r="G14" s="88">
        <v>28825</v>
      </c>
      <c r="H14" s="88">
        <v>99888</v>
      </c>
      <c r="I14" s="88">
        <v>183779</v>
      </c>
      <c r="J14" s="88">
        <v>75551</v>
      </c>
      <c r="K14" s="88">
        <v>23867</v>
      </c>
    </row>
    <row r="15" spans="1:11" x14ac:dyDescent="0.25">
      <c r="A15" s="2">
        <f t="shared" ref="A15:A27" si="0">A14+1</f>
        <v>3</v>
      </c>
      <c r="B15" s="2" t="s">
        <v>28</v>
      </c>
      <c r="C15" s="2" t="s">
        <v>46</v>
      </c>
      <c r="D15" s="15"/>
      <c r="E15" s="88">
        <v>2635</v>
      </c>
      <c r="F15" s="88">
        <v>1072</v>
      </c>
      <c r="G15" s="88">
        <v>1157</v>
      </c>
      <c r="H15" s="88">
        <v>4162</v>
      </c>
      <c r="I15" s="88">
        <v>7218</v>
      </c>
      <c r="J15" s="88">
        <v>1459</v>
      </c>
      <c r="K15" s="88">
        <v>456</v>
      </c>
    </row>
    <row r="16" spans="1:11" x14ac:dyDescent="0.25"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2">
        <f>A15+1</f>
        <v>4</v>
      </c>
      <c r="B17" s="2" t="s">
        <v>28</v>
      </c>
      <c r="C17" s="2" t="s">
        <v>45</v>
      </c>
      <c r="D17" s="15"/>
      <c r="E17" s="88">
        <v>2422</v>
      </c>
      <c r="F17" s="88">
        <v>999</v>
      </c>
      <c r="G17" s="88">
        <v>901</v>
      </c>
      <c r="H17" s="88">
        <v>4140</v>
      </c>
      <c r="I17" s="88">
        <v>7026</v>
      </c>
      <c r="J17" s="88">
        <v>1428</v>
      </c>
      <c r="K17" s="88">
        <v>428</v>
      </c>
    </row>
    <row r="18" spans="1:11" x14ac:dyDescent="0.25">
      <c r="A18" s="2">
        <f t="shared" si="0"/>
        <v>5</v>
      </c>
      <c r="B18" s="2" t="s">
        <v>28</v>
      </c>
      <c r="C18" s="2" t="s">
        <v>138</v>
      </c>
      <c r="D18" s="15"/>
      <c r="E18" s="88">
        <v>2112</v>
      </c>
      <c r="F18" s="88">
        <v>936</v>
      </c>
      <c r="G18" s="88">
        <v>660</v>
      </c>
      <c r="H18" s="88">
        <v>3469</v>
      </c>
      <c r="I18" s="88">
        <v>2715</v>
      </c>
      <c r="J18" s="88">
        <v>550</v>
      </c>
      <c r="K18" s="88">
        <v>180</v>
      </c>
    </row>
    <row r="19" spans="1:11" s="26" customFormat="1" x14ac:dyDescent="0.25">
      <c r="A19" s="2">
        <f t="shared" si="0"/>
        <v>6</v>
      </c>
      <c r="B19" s="4" t="s">
        <v>28</v>
      </c>
      <c r="C19" s="2" t="s">
        <v>47</v>
      </c>
      <c r="D19" s="15">
        <f>SUM(E19:K19)</f>
        <v>35653</v>
      </c>
      <c r="E19" s="88">
        <v>3920</v>
      </c>
      <c r="F19" s="88">
        <v>5364</v>
      </c>
      <c r="G19" s="88">
        <v>1158</v>
      </c>
      <c r="H19" s="88">
        <v>2905</v>
      </c>
      <c r="I19" s="88">
        <v>16950</v>
      </c>
      <c r="J19" s="88">
        <v>1543</v>
      </c>
      <c r="K19" s="88">
        <v>3813</v>
      </c>
    </row>
    <row r="20" spans="1:11" x14ac:dyDescent="0.25">
      <c r="A20" s="2">
        <f t="shared" si="0"/>
        <v>7</v>
      </c>
      <c r="B20" s="2" t="s">
        <v>28</v>
      </c>
      <c r="C20" s="2" t="s">
        <v>57</v>
      </c>
      <c r="D20" s="15"/>
      <c r="E20" s="88">
        <v>45713</v>
      </c>
      <c r="F20" s="88">
        <v>48328</v>
      </c>
      <c r="G20" s="88">
        <v>9805</v>
      </c>
      <c r="H20" s="88">
        <v>65925</v>
      </c>
      <c r="I20" s="88">
        <v>59475</v>
      </c>
      <c r="J20" s="88">
        <v>24483</v>
      </c>
      <c r="K20" s="88">
        <v>8397</v>
      </c>
    </row>
    <row r="21" spans="1:11" x14ac:dyDescent="0.25">
      <c r="A21" s="2">
        <f t="shared" si="0"/>
        <v>8</v>
      </c>
      <c r="B21" s="2" t="s">
        <v>28</v>
      </c>
      <c r="C21" s="2" t="s">
        <v>38</v>
      </c>
      <c r="D21" s="77"/>
      <c r="E21" s="77">
        <f t="shared" ref="E21:K21" si="1">E13/E14</f>
        <v>4.0603736095503331</v>
      </c>
      <c r="F21" s="77">
        <f t="shared" si="1"/>
        <v>2.5426605310930044</v>
      </c>
      <c r="G21" s="77">
        <f t="shared" ref="G21" si="2">G13/G14</f>
        <v>4.6076669557675629</v>
      </c>
      <c r="H21" s="77">
        <f t="shared" si="1"/>
        <v>3.4754525068076245</v>
      </c>
      <c r="I21" s="77">
        <f t="shared" ref="I21" si="3">I13/I14</f>
        <v>4.1753192693398047</v>
      </c>
      <c r="J21" s="77">
        <f t="shared" si="1"/>
        <v>2.0684967770115552</v>
      </c>
      <c r="K21" s="77">
        <f t="shared" si="1"/>
        <v>2.2136003687099342</v>
      </c>
    </row>
    <row r="22" spans="1:11" x14ac:dyDescent="0.25">
      <c r="A22" s="2">
        <f t="shared" si="0"/>
        <v>9</v>
      </c>
      <c r="B22" s="2" t="s">
        <v>28</v>
      </c>
      <c r="C22" s="2" t="s">
        <v>39</v>
      </c>
      <c r="D22" s="15"/>
      <c r="E22" s="15">
        <f t="shared" ref="E22:K22" si="4">E14/E17</f>
        <v>25.351362510322048</v>
      </c>
      <c r="F22" s="15">
        <f t="shared" si="4"/>
        <v>47.421421421421421</v>
      </c>
      <c r="G22" s="15">
        <f t="shared" ref="G22" si="5">G14/G17</f>
        <v>31.992230854605992</v>
      </c>
      <c r="H22" s="15">
        <f t="shared" si="4"/>
        <v>24.127536231884058</v>
      </c>
      <c r="I22" s="15">
        <f t="shared" ref="I22" si="6">I14/I17</f>
        <v>26.156988329063477</v>
      </c>
      <c r="J22" s="15">
        <f t="shared" si="4"/>
        <v>52.906862745098039</v>
      </c>
      <c r="K22" s="15">
        <f t="shared" si="4"/>
        <v>55.764018691588788</v>
      </c>
    </row>
    <row r="23" spans="1:11" x14ac:dyDescent="0.25">
      <c r="A23" s="2">
        <f t="shared" si="0"/>
        <v>10</v>
      </c>
      <c r="B23" s="2" t="s">
        <v>28</v>
      </c>
      <c r="C23" s="2" t="s">
        <v>40</v>
      </c>
      <c r="D23" s="77"/>
      <c r="E23" s="77">
        <f t="shared" ref="E23:K23" si="7">E13/E17</f>
        <v>102.93600330305533</v>
      </c>
      <c r="F23" s="77">
        <f t="shared" si="7"/>
        <v>120.57657657657657</v>
      </c>
      <c r="G23" s="77">
        <f t="shared" ref="G23" si="8">G13/G17</f>
        <v>147.4095449500555</v>
      </c>
      <c r="H23" s="77">
        <f t="shared" si="7"/>
        <v>83.854106280193236</v>
      </c>
      <c r="I23" s="77">
        <f t="shared" ref="I23" si="9">I13/I17</f>
        <v>109.21377739823512</v>
      </c>
      <c r="J23" s="77">
        <f t="shared" si="7"/>
        <v>109.43767507002801</v>
      </c>
      <c r="K23" s="77">
        <f t="shared" si="7"/>
        <v>123.4392523364486</v>
      </c>
    </row>
    <row r="24" spans="1:11" x14ac:dyDescent="0.25">
      <c r="A24" s="2">
        <f t="shared" si="0"/>
        <v>11</v>
      </c>
      <c r="B24" s="2" t="s">
        <v>28</v>
      </c>
      <c r="C24" s="2" t="s">
        <v>41</v>
      </c>
      <c r="D24" s="74"/>
      <c r="E24" s="73">
        <f t="shared" ref="E24:K24" si="10">E13*E18/E17</f>
        <v>217400.83897605285</v>
      </c>
      <c r="F24" s="73">
        <f t="shared" si="10"/>
        <v>112859.67567567568</v>
      </c>
      <c r="G24" s="73">
        <f t="shared" ref="G24" si="11">G13*G18/G17</f>
        <v>97290.299667036626</v>
      </c>
      <c r="H24" s="73">
        <f t="shared" si="10"/>
        <v>290889.89468599035</v>
      </c>
      <c r="I24" s="73">
        <f t="shared" ref="I24" si="12">I13*I18/I17</f>
        <v>296515.40563620836</v>
      </c>
      <c r="J24" s="73">
        <f t="shared" si="10"/>
        <v>60190.721288515408</v>
      </c>
      <c r="K24" s="73">
        <f t="shared" si="10"/>
        <v>22219.065420560746</v>
      </c>
    </row>
    <row r="25" spans="1:11" x14ac:dyDescent="0.25">
      <c r="A25" s="2">
        <f t="shared" si="0"/>
        <v>12</v>
      </c>
      <c r="B25" s="2" t="s">
        <v>28</v>
      </c>
      <c r="C25" s="2" t="s">
        <v>42</v>
      </c>
      <c r="D25" s="56"/>
      <c r="E25" s="56">
        <f t="shared" ref="E25:K25" si="13">E24/E20</f>
        <v>4.7557771088323424</v>
      </c>
      <c r="F25" s="56">
        <f t="shared" si="13"/>
        <v>2.3352854592715544</v>
      </c>
      <c r="G25" s="56">
        <f t="shared" ref="G25" si="14">G24/G20</f>
        <v>9.9225190889379533</v>
      </c>
      <c r="H25" s="56">
        <f t="shared" si="13"/>
        <v>4.4124367794613626</v>
      </c>
      <c r="I25" s="56">
        <f t="shared" ref="I25" si="15">I24/I20</f>
        <v>4.9855469631981233</v>
      </c>
      <c r="J25" s="56">
        <f t="shared" si="13"/>
        <v>2.4584700113758693</v>
      </c>
      <c r="K25" s="56">
        <f t="shared" si="13"/>
        <v>2.6460718614458432</v>
      </c>
    </row>
    <row r="26" spans="1:11" x14ac:dyDescent="0.25">
      <c r="A26" s="2">
        <f t="shared" si="0"/>
        <v>13</v>
      </c>
      <c r="B26" s="2" t="s">
        <v>28</v>
      </c>
      <c r="C26" s="2" t="s">
        <v>43</v>
      </c>
      <c r="D26" s="14">
        <f>SUM(E26:K26)</f>
        <v>1</v>
      </c>
      <c r="E26" s="78">
        <f t="shared" ref="E26:K26" si="16">E19/$D19</f>
        <v>0.10994867192101647</v>
      </c>
      <c r="F26" s="78">
        <f t="shared" si="16"/>
        <v>0.15045017249600315</v>
      </c>
      <c r="G26" s="78">
        <f t="shared" ref="G26" si="17">G19/$D19</f>
        <v>3.2479735225647212E-2</v>
      </c>
      <c r="H26" s="78">
        <f t="shared" si="16"/>
        <v>8.1479819370038981E-2</v>
      </c>
      <c r="I26" s="78">
        <f t="shared" ref="I26" si="18">I19/$D19</f>
        <v>0.4754158135360278</v>
      </c>
      <c r="J26" s="78">
        <f t="shared" si="16"/>
        <v>4.3278265503604182E-2</v>
      </c>
      <c r="K26" s="78">
        <f t="shared" si="16"/>
        <v>0.10694752194766219</v>
      </c>
    </row>
    <row r="27" spans="1:11" x14ac:dyDescent="0.25">
      <c r="A27" s="2">
        <f t="shared" si="0"/>
        <v>14</v>
      </c>
      <c r="B27" s="2" t="s">
        <v>28</v>
      </c>
      <c r="C27" s="2" t="s">
        <v>44</v>
      </c>
      <c r="D27" s="79">
        <f>SUM(E27:K27)</f>
        <v>4.3156378335886174</v>
      </c>
      <c r="E27" s="56">
        <f t="shared" ref="E27:K27" si="19">E25*E26</f>
        <v>0.52289137706848743</v>
      </c>
      <c r="F27" s="56">
        <f t="shared" si="19"/>
        <v>0.35134410017481327</v>
      </c>
      <c r="G27" s="56">
        <f t="shared" ref="G27" si="20">G25*G26</f>
        <v>0.32228079278013494</v>
      </c>
      <c r="H27" s="56">
        <f t="shared" si="19"/>
        <v>0.35952455177222836</v>
      </c>
      <c r="I27" s="56">
        <f t="shared" ref="I27" si="21">I25*I26</f>
        <v>2.3702078654309084</v>
      </c>
      <c r="J27" s="56">
        <f t="shared" si="19"/>
        <v>0.10639831788497367</v>
      </c>
      <c r="K27" s="56">
        <f t="shared" si="19"/>
        <v>0.28299082847707063</v>
      </c>
    </row>
    <row r="28" spans="1:11" x14ac:dyDescent="0.25">
      <c r="D28" s="53"/>
      <c r="E28" s="56"/>
      <c r="F28" s="56"/>
      <c r="G28" s="56"/>
      <c r="H28" s="56"/>
      <c r="I28" s="56"/>
      <c r="J28" s="56"/>
      <c r="K28" s="56"/>
    </row>
    <row r="29" spans="1:11" x14ac:dyDescent="0.25">
      <c r="C29" s="2" t="s">
        <v>128</v>
      </c>
      <c r="D29" s="53"/>
      <c r="E29" s="14">
        <f t="shared" ref="E29:K29" si="22">E15/E17-1</f>
        <v>8.7943848059454988E-2</v>
      </c>
      <c r="F29" s="80">
        <f t="shared" si="22"/>
        <v>7.3073073073073092E-2</v>
      </c>
      <c r="G29" s="80">
        <f t="shared" ref="G29" si="23">G15/G17-1</f>
        <v>0.28412874583795777</v>
      </c>
      <c r="H29" s="14">
        <f t="shared" si="22"/>
        <v>5.3140096618358168E-3</v>
      </c>
      <c r="I29" s="80">
        <f t="shared" ref="I29" si="24">I15/I17-1</f>
        <v>2.7327070879590076E-2</v>
      </c>
      <c r="J29" s="14">
        <f t="shared" si="22"/>
        <v>2.1708683473389279E-2</v>
      </c>
      <c r="K29" s="14">
        <f t="shared" si="22"/>
        <v>6.5420560747663448E-2</v>
      </c>
    </row>
    <row r="33" spans="5:11" x14ac:dyDescent="0.25">
      <c r="E33" s="15"/>
      <c r="F33" s="15"/>
      <c r="G33" s="15"/>
      <c r="H33" s="15"/>
      <c r="I33" s="15"/>
      <c r="J33" s="15"/>
      <c r="K33" s="15"/>
    </row>
    <row r="34" spans="5:11" x14ac:dyDescent="0.25">
      <c r="J34" s="73"/>
      <c r="K34" s="73"/>
    </row>
  </sheetData>
  <pageMargins left="0.7" right="0.7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workbookViewId="0">
      <selection activeCell="A26" sqref="A26"/>
    </sheetView>
  </sheetViews>
  <sheetFormatPr defaultColWidth="9.140625" defaultRowHeight="15" x14ac:dyDescent="0.25"/>
  <cols>
    <col min="1" max="1" width="3.28515625" style="2" customWidth="1"/>
    <col min="2" max="2" width="9.140625" style="2"/>
    <col min="3" max="3" width="17.85546875" style="2" customWidth="1"/>
    <col min="4" max="4" width="9.140625" style="2"/>
    <col min="5" max="5" width="11.42578125" style="2" bestFit="1" customWidth="1"/>
    <col min="6" max="6" width="10.140625" style="2" bestFit="1" customWidth="1"/>
    <col min="7" max="7" width="9.28515625" style="14" bestFit="1" customWidth="1"/>
    <col min="8" max="8" width="9.42578125" style="14" bestFit="1" customWidth="1"/>
    <col min="9" max="9" width="3.5703125" style="2" customWidth="1"/>
    <col min="10" max="13" width="9.140625" style="2"/>
    <col min="14" max="14" width="41.140625" style="2" bestFit="1" customWidth="1"/>
    <col min="15" max="16" width="9.140625" style="2"/>
    <col min="17" max="17" width="10.140625" style="2" bestFit="1" customWidth="1"/>
    <col min="18" max="19" width="9.140625" style="2"/>
    <col min="20" max="20" width="10.7109375" style="2" bestFit="1" customWidth="1"/>
    <col min="21" max="16384" width="9.140625" style="2"/>
  </cols>
  <sheetData>
    <row r="1" spans="1:20" x14ac:dyDescent="0.25">
      <c r="I1" s="3"/>
    </row>
    <row r="2" spans="1:20" x14ac:dyDescent="0.25">
      <c r="I2" s="3" t="s">
        <v>125</v>
      </c>
      <c r="N2" s="81" t="s">
        <v>37</v>
      </c>
      <c r="O2" s="81" t="s">
        <v>141</v>
      </c>
      <c r="P2" s="81" t="s">
        <v>142</v>
      </c>
      <c r="Q2" s="81" t="s">
        <v>14</v>
      </c>
      <c r="T2" s="81" t="s">
        <v>143</v>
      </c>
    </row>
    <row r="3" spans="1:20" x14ac:dyDescent="0.25">
      <c r="I3" s="3" t="s">
        <v>162</v>
      </c>
      <c r="N3" s="2" t="s">
        <v>145</v>
      </c>
      <c r="O3">
        <v>40</v>
      </c>
      <c r="P3">
        <v>40</v>
      </c>
      <c r="Q3" s="93">
        <v>16949.955499999996</v>
      </c>
      <c r="R3" s="14">
        <f t="shared" ref="R3:R15" si="0">Q3/Q$18</f>
        <v>0.46778346144608285</v>
      </c>
      <c r="T3" s="82">
        <v>5562</v>
      </c>
    </row>
    <row r="4" spans="1:20" x14ac:dyDescent="0.25">
      <c r="N4" s="2" t="s">
        <v>146</v>
      </c>
      <c r="O4">
        <v>416</v>
      </c>
      <c r="P4">
        <v>416</v>
      </c>
      <c r="Q4" s="93">
        <v>5363.6139999999987</v>
      </c>
      <c r="R4" s="14">
        <f t="shared" si="0"/>
        <v>0.14802457285393286</v>
      </c>
      <c r="T4" s="82">
        <v>2901</v>
      </c>
    </row>
    <row r="5" spans="1:20" x14ac:dyDescent="0.25">
      <c r="N5" t="s">
        <v>146</v>
      </c>
      <c r="O5">
        <v>40</v>
      </c>
      <c r="P5">
        <v>40</v>
      </c>
      <c r="Q5" s="93">
        <v>3919.8709999999996</v>
      </c>
      <c r="R5" s="14">
        <f t="shared" si="0"/>
        <v>0.10818027367694967</v>
      </c>
      <c r="T5" s="82">
        <v>4039</v>
      </c>
    </row>
    <row r="6" spans="1:20" x14ac:dyDescent="0.25">
      <c r="N6" s="2" t="s">
        <v>145</v>
      </c>
      <c r="O6">
        <v>416</v>
      </c>
      <c r="P6">
        <v>416</v>
      </c>
      <c r="Q6" s="93">
        <v>3813.139999999999</v>
      </c>
      <c r="R6" s="14">
        <f t="shared" si="0"/>
        <v>0.10523472042026991</v>
      </c>
      <c r="T6" s="82">
        <v>3615</v>
      </c>
    </row>
    <row r="7" spans="1:20" x14ac:dyDescent="0.25">
      <c r="A7" s="98" t="s">
        <v>148</v>
      </c>
      <c r="B7" s="98"/>
      <c r="C7" s="98"/>
      <c r="D7" s="98"/>
      <c r="E7" s="98"/>
      <c r="F7" s="98"/>
      <c r="G7" s="98"/>
      <c r="H7" s="98"/>
      <c r="I7" s="98"/>
      <c r="N7" s="68" t="s">
        <v>140</v>
      </c>
      <c r="O7">
        <v>40</v>
      </c>
      <c r="P7">
        <v>40</v>
      </c>
      <c r="Q7" s="93">
        <v>2904.7684999999997</v>
      </c>
      <c r="R7" s="14">
        <f t="shared" si="0"/>
        <v>8.0165559350851748E-2</v>
      </c>
      <c r="T7">
        <v>787</v>
      </c>
    </row>
    <row r="8" spans="1:20" x14ac:dyDescent="0.25">
      <c r="C8" s="15"/>
      <c r="N8" t="s">
        <v>145</v>
      </c>
      <c r="O8">
        <v>42</v>
      </c>
      <c r="P8">
        <v>42</v>
      </c>
      <c r="Q8" s="93">
        <v>1542.74</v>
      </c>
      <c r="R8" s="14">
        <f t="shared" si="0"/>
        <v>4.2576410145226042E-2</v>
      </c>
      <c r="T8">
        <v>315</v>
      </c>
    </row>
    <row r="9" spans="1:20" ht="15.75" thickBot="1" x14ac:dyDescent="0.3">
      <c r="F9" s="3" t="s">
        <v>122</v>
      </c>
      <c r="H9" s="17" t="s">
        <v>116</v>
      </c>
      <c r="N9" s="85" t="s">
        <v>134</v>
      </c>
      <c r="O9" s="83">
        <v>40</v>
      </c>
      <c r="P9" s="83">
        <v>40</v>
      </c>
      <c r="Q9" s="94">
        <v>1157.673</v>
      </c>
      <c r="R9" s="84">
        <f t="shared" si="0"/>
        <v>3.1949363121494399E-2</v>
      </c>
      <c r="T9">
        <v>425</v>
      </c>
    </row>
    <row r="10" spans="1:20" x14ac:dyDescent="0.25">
      <c r="C10" s="4" t="s">
        <v>37</v>
      </c>
      <c r="D10" s="4" t="s">
        <v>117</v>
      </c>
      <c r="E10" s="5" t="s">
        <v>118</v>
      </c>
      <c r="F10" s="4" t="s">
        <v>14</v>
      </c>
      <c r="G10" s="18" t="s">
        <v>119</v>
      </c>
      <c r="H10" s="18" t="s">
        <v>119</v>
      </c>
      <c r="N10" s="1" t="s">
        <v>147</v>
      </c>
      <c r="O10" s="95">
        <v>415</v>
      </c>
      <c r="P10" s="95">
        <v>415</v>
      </c>
      <c r="Q10" s="96">
        <v>283.29000000000002</v>
      </c>
      <c r="R10" s="48">
        <f t="shared" si="0"/>
        <v>7.8182138468187029E-3</v>
      </c>
      <c r="T10" s="82">
        <v>2367</v>
      </c>
    </row>
    <row r="11" spans="1:20" x14ac:dyDescent="0.25">
      <c r="C11" s="2" t="s">
        <v>120</v>
      </c>
      <c r="D11" s="1" t="s">
        <v>48</v>
      </c>
      <c r="E11">
        <v>40</v>
      </c>
      <c r="F11" s="93">
        <v>16949.955499999996</v>
      </c>
      <c r="G11" s="48">
        <f t="shared" ref="G11:G22" si="1">F11/F$24</f>
        <v>0.46778346144608285</v>
      </c>
      <c r="H11" s="48">
        <f>G11</f>
        <v>0.46778346144608285</v>
      </c>
      <c r="N11" t="s">
        <v>146</v>
      </c>
      <c r="O11">
        <v>35</v>
      </c>
      <c r="P11">
        <v>35</v>
      </c>
      <c r="Q11" s="93">
        <v>188.2775</v>
      </c>
      <c r="R11" s="14">
        <f t="shared" si="0"/>
        <v>5.1960667780169027E-3</v>
      </c>
      <c r="T11">
        <v>107</v>
      </c>
    </row>
    <row r="12" spans="1:20" x14ac:dyDescent="0.25">
      <c r="C12" s="2" t="s">
        <v>133</v>
      </c>
      <c r="D12" s="1" t="s">
        <v>52</v>
      </c>
      <c r="E12">
        <v>416</v>
      </c>
      <c r="F12" s="93">
        <v>5363.6139999999987</v>
      </c>
      <c r="G12" s="48">
        <f t="shared" si="1"/>
        <v>0.14802457285393286</v>
      </c>
      <c r="H12" s="48">
        <f t="shared" ref="H12:H22" si="2">G12</f>
        <v>0.14802457285393286</v>
      </c>
      <c r="N12" s="2" t="s">
        <v>134</v>
      </c>
      <c r="O12">
        <v>33</v>
      </c>
      <c r="P12">
        <v>33</v>
      </c>
      <c r="Q12" s="93">
        <v>70.207999999999998</v>
      </c>
      <c r="R12" s="14">
        <f t="shared" si="0"/>
        <v>1.9375945418385664E-3</v>
      </c>
      <c r="T12">
        <v>187</v>
      </c>
    </row>
    <row r="13" spans="1:20" x14ac:dyDescent="0.25">
      <c r="C13" s="2" t="s">
        <v>133</v>
      </c>
      <c r="D13" s="1" t="s">
        <v>52</v>
      </c>
      <c r="E13">
        <v>40</v>
      </c>
      <c r="F13" s="93">
        <v>3919.8709999999996</v>
      </c>
      <c r="G13" s="48">
        <f t="shared" si="1"/>
        <v>0.10818027367694967</v>
      </c>
      <c r="H13" s="48">
        <f t="shared" si="2"/>
        <v>0.10818027367694967</v>
      </c>
      <c r="N13" t="s">
        <v>140</v>
      </c>
      <c r="O13">
        <v>33</v>
      </c>
      <c r="P13">
        <v>33</v>
      </c>
      <c r="Q13" s="93">
        <v>38.329000000000001</v>
      </c>
      <c r="R13" s="14">
        <f t="shared" si="0"/>
        <v>1.0578005525599707E-3</v>
      </c>
      <c r="T13">
        <v>120</v>
      </c>
    </row>
    <row r="14" spans="1:20" x14ac:dyDescent="0.25">
      <c r="C14" s="2" t="s">
        <v>120</v>
      </c>
      <c r="D14" s="1" t="s">
        <v>48</v>
      </c>
      <c r="E14">
        <v>416</v>
      </c>
      <c r="F14" s="93">
        <v>3813.139999999999</v>
      </c>
      <c r="G14" s="48">
        <f t="shared" si="1"/>
        <v>0.10523472042026991</v>
      </c>
      <c r="H14" s="48">
        <f t="shared" si="2"/>
        <v>0.10523472042026991</v>
      </c>
      <c r="N14" t="s">
        <v>139</v>
      </c>
      <c r="O14">
        <v>416</v>
      </c>
      <c r="P14">
        <v>416</v>
      </c>
      <c r="Q14" s="93">
        <v>2.7524999999999999</v>
      </c>
      <c r="R14" s="14">
        <f t="shared" si="0"/>
        <v>7.5963265958447097E-5</v>
      </c>
      <c r="T14">
        <v>247</v>
      </c>
    </row>
    <row r="15" spans="1:20" x14ac:dyDescent="0.25">
      <c r="B15" s="68"/>
      <c r="C15" s="68" t="s">
        <v>140</v>
      </c>
      <c r="D15" s="86" t="s">
        <v>50</v>
      </c>
      <c r="E15">
        <v>40</v>
      </c>
      <c r="F15" s="93">
        <v>2904.7684999999997</v>
      </c>
      <c r="G15" s="48">
        <f t="shared" si="1"/>
        <v>8.0165559350851748E-2</v>
      </c>
      <c r="H15" s="48">
        <f t="shared" si="2"/>
        <v>8.0165559350851748E-2</v>
      </c>
      <c r="N15" t="s">
        <v>139</v>
      </c>
      <c r="O15">
        <v>40</v>
      </c>
      <c r="P15">
        <v>40</v>
      </c>
      <c r="Q15" s="93">
        <v>0</v>
      </c>
      <c r="R15" s="14">
        <f t="shared" si="0"/>
        <v>0</v>
      </c>
      <c r="T15">
        <v>21</v>
      </c>
    </row>
    <row r="16" spans="1:20" x14ac:dyDescent="0.25">
      <c r="B16" s="6"/>
      <c r="C16" t="s">
        <v>120</v>
      </c>
      <c r="D16" s="86" t="s">
        <v>48</v>
      </c>
      <c r="E16">
        <v>42</v>
      </c>
      <c r="F16" s="93">
        <v>1542.74</v>
      </c>
      <c r="G16" s="48">
        <f t="shared" si="1"/>
        <v>4.2576410145226042E-2</v>
      </c>
      <c r="H16" s="48">
        <f t="shared" si="2"/>
        <v>4.2576410145226042E-2</v>
      </c>
      <c r="N16"/>
      <c r="O16"/>
      <c r="P16"/>
      <c r="Q16" s="82"/>
      <c r="R16" s="14"/>
      <c r="T16">
        <v>5</v>
      </c>
    </row>
    <row r="17" spans="3:20" ht="15.75" thickBot="1" x14ac:dyDescent="0.3">
      <c r="C17" s="85" t="s">
        <v>134</v>
      </c>
      <c r="D17" s="85" t="s">
        <v>54</v>
      </c>
      <c r="E17" s="83">
        <v>40</v>
      </c>
      <c r="F17" s="94">
        <v>1157.673</v>
      </c>
      <c r="G17" s="84">
        <f t="shared" si="1"/>
        <v>3.1949363121494399E-2</v>
      </c>
      <c r="H17" s="84">
        <f t="shared" si="2"/>
        <v>3.1949363121494399E-2</v>
      </c>
      <c r="N17"/>
      <c r="O17"/>
      <c r="P17"/>
      <c r="Q17" s="82"/>
      <c r="R17" s="14"/>
      <c r="T17">
        <v>272</v>
      </c>
    </row>
    <row r="18" spans="3:20" x14ac:dyDescent="0.25">
      <c r="C18" s="1" t="s">
        <v>135</v>
      </c>
      <c r="D18" s="1" t="s">
        <v>144</v>
      </c>
      <c r="E18" s="95">
        <v>415</v>
      </c>
      <c r="F18" s="96">
        <v>283.29000000000002</v>
      </c>
      <c r="G18" s="48">
        <f t="shared" si="1"/>
        <v>7.8182138468187029E-3</v>
      </c>
      <c r="H18" s="48">
        <f t="shared" si="2"/>
        <v>7.8182138468187029E-3</v>
      </c>
      <c r="Q18" s="15">
        <f>SUM(Q3:Q15)</f>
        <v>36234.618999999992</v>
      </c>
      <c r="T18">
        <v>10</v>
      </c>
    </row>
    <row r="19" spans="3:20" x14ac:dyDescent="0.25">
      <c r="C19" s="2" t="s">
        <v>133</v>
      </c>
      <c r="D19" s="1" t="s">
        <v>52</v>
      </c>
      <c r="E19">
        <v>35</v>
      </c>
      <c r="F19" s="93">
        <v>188.2775</v>
      </c>
      <c r="G19" s="48">
        <f t="shared" si="1"/>
        <v>5.1960667780169027E-3</v>
      </c>
      <c r="H19" s="48">
        <f t="shared" si="2"/>
        <v>5.1960667780169027E-3</v>
      </c>
      <c r="T19">
        <v>26</v>
      </c>
    </row>
    <row r="20" spans="3:20" x14ac:dyDescent="0.25">
      <c r="C20" s="2" t="s">
        <v>134</v>
      </c>
      <c r="D20" s="1" t="s">
        <v>54</v>
      </c>
      <c r="E20">
        <v>33</v>
      </c>
      <c r="F20" s="93">
        <v>70.207999999999998</v>
      </c>
      <c r="G20" s="48">
        <f t="shared" si="1"/>
        <v>1.9375945418385664E-3</v>
      </c>
      <c r="H20" s="48">
        <f t="shared" si="2"/>
        <v>1.9375945418385664E-3</v>
      </c>
      <c r="T20">
        <v>15</v>
      </c>
    </row>
    <row r="21" spans="3:20" x14ac:dyDescent="0.25">
      <c r="C21" t="s">
        <v>140</v>
      </c>
      <c r="D21" s="1" t="s">
        <v>50</v>
      </c>
      <c r="E21">
        <v>33</v>
      </c>
      <c r="F21" s="93">
        <v>38.329000000000001</v>
      </c>
      <c r="G21" s="48">
        <f t="shared" si="1"/>
        <v>1.0578005525599707E-3</v>
      </c>
      <c r="H21" s="48">
        <f t="shared" si="2"/>
        <v>1.0578005525599707E-3</v>
      </c>
      <c r="T21">
        <v>2</v>
      </c>
    </row>
    <row r="22" spans="3:20" x14ac:dyDescent="0.25">
      <c r="C22" t="s">
        <v>139</v>
      </c>
      <c r="D22" s="1" t="s">
        <v>136</v>
      </c>
      <c r="E22">
        <v>416</v>
      </c>
      <c r="F22" s="93">
        <v>2.7524999999999999</v>
      </c>
      <c r="G22" s="48">
        <f t="shared" si="1"/>
        <v>7.5963265958447097E-5</v>
      </c>
      <c r="H22" s="48">
        <f t="shared" si="2"/>
        <v>7.5963265958447097E-5</v>
      </c>
      <c r="T22">
        <v>2</v>
      </c>
    </row>
    <row r="23" spans="3:20" x14ac:dyDescent="0.25">
      <c r="C23"/>
      <c r="D23" s="1"/>
      <c r="E23"/>
      <c r="F23"/>
      <c r="G23" s="48"/>
      <c r="H23" s="48"/>
    </row>
    <row r="24" spans="3:20" x14ac:dyDescent="0.25">
      <c r="C24" s="2" t="s">
        <v>30</v>
      </c>
      <c r="F24" s="72">
        <f>SUM(F11:F22)</f>
        <v>36234.618999999992</v>
      </c>
      <c r="G24" s="14">
        <f>SUM(G11:G22)</f>
        <v>1.0000000000000002</v>
      </c>
    </row>
    <row r="27" spans="3:20" x14ac:dyDescent="0.25">
      <c r="C27" s="1"/>
      <c r="D27" s="1"/>
      <c r="E27" s="1"/>
      <c r="F27" s="1"/>
      <c r="G27" s="48"/>
      <c r="H27" s="48"/>
      <c r="I27" s="1"/>
    </row>
    <row r="28" spans="3:20" x14ac:dyDescent="0.25">
      <c r="C28" s="1"/>
      <c r="D28" s="1"/>
      <c r="E28" s="1"/>
      <c r="F28" s="1"/>
      <c r="G28" s="48"/>
      <c r="H28" s="48"/>
      <c r="I28" s="1"/>
    </row>
    <row r="29" spans="3:20" x14ac:dyDescent="0.25">
      <c r="C29" s="1"/>
      <c r="D29" s="1"/>
      <c r="E29" s="1"/>
      <c r="F29" s="1"/>
      <c r="G29" s="48"/>
      <c r="H29" s="48"/>
      <c r="I29" s="1"/>
    </row>
    <row r="30" spans="3:20" x14ac:dyDescent="0.25">
      <c r="C30" s="1"/>
      <c r="D30" s="1"/>
      <c r="E30" s="1"/>
      <c r="F30" s="1"/>
      <c r="G30" s="48"/>
      <c r="H30" s="48"/>
      <c r="I30" s="1"/>
    </row>
    <row r="31" spans="3:20" x14ac:dyDescent="0.25">
      <c r="C31" s="1"/>
      <c r="D31" s="86"/>
      <c r="E31" s="86"/>
      <c r="F31" s="1"/>
      <c r="G31" s="48"/>
      <c r="H31" s="48"/>
      <c r="I31" s="1"/>
    </row>
    <row r="32" spans="3:20" x14ac:dyDescent="0.25">
      <c r="C32" s="1"/>
      <c r="D32" s="9"/>
      <c r="E32" s="9"/>
      <c r="F32" s="1"/>
      <c r="G32" s="48"/>
      <c r="H32" s="48"/>
      <c r="I32" s="1"/>
    </row>
    <row r="33" spans="3:9" x14ac:dyDescent="0.25">
      <c r="C33" s="1"/>
      <c r="D33" s="1"/>
      <c r="E33" s="1"/>
      <c r="F33" s="1"/>
      <c r="G33" s="48"/>
      <c r="H33" s="48"/>
      <c r="I33" s="1"/>
    </row>
    <row r="34" spans="3:9" x14ac:dyDescent="0.25">
      <c r="C34" s="1"/>
      <c r="D34" s="1"/>
      <c r="E34" s="1"/>
      <c r="F34" s="1"/>
      <c r="G34" s="48"/>
      <c r="H34" s="48"/>
      <c r="I34" s="1"/>
    </row>
    <row r="35" spans="3:9" x14ac:dyDescent="0.25">
      <c r="C35" s="1"/>
      <c r="D35" s="1"/>
      <c r="E35" s="1"/>
      <c r="F35" s="1"/>
      <c r="G35" s="48"/>
      <c r="H35" s="48"/>
      <c r="I35" s="1"/>
    </row>
    <row r="36" spans="3:9" x14ac:dyDescent="0.25">
      <c r="C36" s="1"/>
      <c r="D36" s="1"/>
      <c r="E36" s="1"/>
      <c r="F36" s="1"/>
      <c r="G36" s="48"/>
      <c r="H36" s="48"/>
      <c r="I36" s="1"/>
    </row>
    <row r="37" spans="3:9" x14ac:dyDescent="0.25">
      <c r="C37" s="1"/>
      <c r="D37" s="1"/>
      <c r="E37" s="1"/>
      <c r="F37" s="1"/>
      <c r="G37" s="48"/>
      <c r="H37" s="48"/>
      <c r="I37" s="1"/>
    </row>
    <row r="38" spans="3:9" x14ac:dyDescent="0.25">
      <c r="C38" s="1"/>
      <c r="D38" s="1"/>
      <c r="E38" s="1"/>
      <c r="F38" s="1"/>
      <c r="G38" s="48"/>
      <c r="H38" s="48"/>
      <c r="I38" s="1"/>
    </row>
    <row r="39" spans="3:9" x14ac:dyDescent="0.25">
      <c r="C39" s="1"/>
      <c r="D39" s="1"/>
      <c r="E39" s="1"/>
      <c r="F39" s="1"/>
      <c r="G39" s="48"/>
      <c r="H39" s="48"/>
      <c r="I39" s="1"/>
    </row>
    <row r="40" spans="3:9" x14ac:dyDescent="0.25">
      <c r="C40" s="1"/>
      <c r="D40" s="1"/>
      <c r="E40" s="1"/>
      <c r="F40" s="1"/>
      <c r="G40" s="48"/>
      <c r="H40" s="48"/>
      <c r="I40" s="1"/>
    </row>
    <row r="41" spans="3:9" x14ac:dyDescent="0.25">
      <c r="C41" s="1"/>
      <c r="D41" s="1"/>
      <c r="E41" s="1"/>
      <c r="F41" s="1"/>
      <c r="G41" s="48"/>
      <c r="H41" s="48"/>
      <c r="I41" s="1"/>
    </row>
    <row r="42" spans="3:9" x14ac:dyDescent="0.25">
      <c r="C42" s="1"/>
      <c r="D42" s="1"/>
      <c r="E42" s="1"/>
      <c r="F42" s="1"/>
      <c r="G42" s="48"/>
      <c r="H42" s="48"/>
      <c r="I42" s="1"/>
    </row>
    <row r="43" spans="3:9" x14ac:dyDescent="0.25">
      <c r="C43" s="1"/>
      <c r="D43" s="1"/>
      <c r="E43" s="1"/>
      <c r="F43" s="1"/>
      <c r="G43" s="48"/>
      <c r="H43" s="48"/>
      <c r="I43" s="1"/>
    </row>
    <row r="44" spans="3:9" x14ac:dyDescent="0.25">
      <c r="C44" s="1"/>
      <c r="D44" s="1"/>
      <c r="E44" s="1"/>
      <c r="F44" s="1"/>
      <c r="G44" s="48"/>
      <c r="H44" s="48"/>
      <c r="I44" s="1"/>
    </row>
  </sheetData>
  <mergeCells count="1">
    <mergeCell ref="A7:I7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Appendix K SEA 2016</vt:lpstr>
      <vt:lpstr>Appendix L SEA 2016</vt:lpstr>
      <vt:lpstr>Appendix M SEA 2016</vt:lpstr>
      <vt:lpstr>Appendix M 2 SEA 2016</vt:lpstr>
      <vt:lpstr>Appendix N 2016</vt:lpstr>
      <vt:lpstr>'Appendix K SEA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2017-08-16T17:03:48Z</dcterms:modified>
</cp:coreProperties>
</file>