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defaultThemeVersion="124226"/>
  <xr:revisionPtr revIDLastSave="0" documentId="13_ncr:1_{62368AE2-8568-4B4B-BF22-080159253F59}" xr6:coauthVersionLast="45" xr6:coauthVersionMax="45" xr10:uidLastSave="{00000000-0000-0000-0000-000000000000}"/>
  <bookViews>
    <workbookView xWindow="28680" yWindow="-120" windowWidth="29040" windowHeight="15840" tabRatio="887" xr2:uid="{00000000-000D-0000-FFFF-FFFF00000000}"/>
  </bookViews>
  <sheets>
    <sheet name="Appendix H SEA 2020" sheetId="15" r:id="rId1"/>
    <sheet name="2020 Regression" sheetId="22" state="hidden" r:id="rId2"/>
    <sheet name="Appendix I SEA 2020" sheetId="13" r:id="rId3"/>
    <sheet name="Appendix J SEA 2020" sheetId="12" r:id="rId4"/>
    <sheet name="Appendix J 2 SEA 2020" sheetId="11" r:id="rId5"/>
    <sheet name="Appendix K 2020" sheetId="10" r:id="rId6"/>
  </sheets>
  <definedNames>
    <definedName name="_xlnm.Print_Area" localSheetId="0">'Appendix H SEA 2020'!$B$1:$N$29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8" i="15" l="1"/>
  <c r="I17" i="15"/>
  <c r="G22" i="12" l="1"/>
  <c r="F8" i="12" l="1"/>
  <c r="F9" i="12"/>
  <c r="F10" i="12"/>
  <c r="G11" i="12"/>
  <c r="F13" i="12"/>
  <c r="F14" i="12"/>
  <c r="G15" i="12"/>
  <c r="F19" i="12"/>
  <c r="F20" i="12"/>
  <c r="G21" i="12"/>
  <c r="F26" i="12"/>
  <c r="G26" i="12"/>
  <c r="F30" i="12"/>
  <c r="F31" i="12"/>
  <c r="F32" i="12"/>
  <c r="F33" i="12"/>
  <c r="F35" i="12"/>
  <c r="F36" i="12"/>
  <c r="F37" i="12"/>
  <c r="G39" i="12"/>
  <c r="F40" i="12"/>
  <c r="G40" i="12"/>
  <c r="G41" i="12"/>
  <c r="G42" i="12"/>
  <c r="G43" i="12"/>
  <c r="F50" i="12"/>
  <c r="F21" i="12" l="1"/>
  <c r="G23" i="12"/>
  <c r="G24" i="12" s="1"/>
  <c r="G25" i="12" s="1"/>
  <c r="G27" i="12" s="1"/>
  <c r="H11" i="12" l="1"/>
  <c r="I11" i="12"/>
  <c r="H15" i="12"/>
  <c r="I15" i="12"/>
  <c r="H21" i="12"/>
  <c r="I21" i="12"/>
  <c r="H22" i="12"/>
  <c r="H39" i="12"/>
  <c r="I39" i="12"/>
  <c r="H40" i="12"/>
  <c r="I40" i="12"/>
  <c r="H41" i="12"/>
  <c r="I41" i="12"/>
  <c r="H42" i="12"/>
  <c r="I42" i="12"/>
  <c r="H43" i="12"/>
  <c r="I43" i="12"/>
  <c r="G55" i="12"/>
  <c r="H55" i="12"/>
  <c r="I55" i="12"/>
  <c r="G56" i="12"/>
  <c r="H56" i="12"/>
  <c r="I56" i="12"/>
  <c r="G57" i="12"/>
  <c r="H57" i="12"/>
  <c r="I57" i="12"/>
  <c r="G58" i="12"/>
  <c r="H58" i="12"/>
  <c r="I58" i="12"/>
  <c r="G59" i="12"/>
  <c r="H59" i="12"/>
  <c r="I59" i="12"/>
  <c r="I23" i="12" l="1"/>
  <c r="I24" i="12" s="1"/>
  <c r="I25" i="12" s="1"/>
  <c r="H23" i="12"/>
  <c r="H24" i="12" s="1"/>
  <c r="H25" i="12" s="1"/>
  <c r="I22" i="12"/>
  <c r="K17" i="15"/>
  <c r="H16" i="10" l="1"/>
  <c r="H17" i="10"/>
  <c r="H18" i="10" s="1"/>
  <c r="H19" i="10" s="1"/>
  <c r="H20" i="10" s="1"/>
  <c r="H21" i="10" s="1"/>
  <c r="H22" i="10" s="1"/>
  <c r="F52" i="12"/>
  <c r="F46" i="12"/>
  <c r="F47" i="12"/>
  <c r="F48" i="12"/>
  <c r="D13" i="13" l="1"/>
  <c r="D14" i="13"/>
  <c r="D15" i="13"/>
  <c r="D16" i="13"/>
  <c r="D17" i="13"/>
  <c r="D18" i="13"/>
  <c r="D19" i="13"/>
  <c r="D20" i="13"/>
  <c r="D12" i="13"/>
  <c r="M11" i="12" l="1"/>
  <c r="M15" i="12"/>
  <c r="M21" i="12"/>
  <c r="M22" i="12" s="1"/>
  <c r="M43" i="12"/>
  <c r="M40" i="12"/>
  <c r="M41" i="12"/>
  <c r="M55" i="12"/>
  <c r="M56" i="12"/>
  <c r="M57" i="12"/>
  <c r="F21" i="11"/>
  <c r="F22" i="11"/>
  <c r="F23" i="11"/>
  <c r="F24" i="11"/>
  <c r="F25" i="11" s="1"/>
  <c r="F29" i="11"/>
  <c r="F23" i="10"/>
  <c r="Q16" i="10"/>
  <c r="R11" i="10" s="1"/>
  <c r="G13" i="10" l="1"/>
  <c r="G15" i="10"/>
  <c r="G19" i="10"/>
  <c r="G16" i="10"/>
  <c r="G17" i="10"/>
  <c r="G18" i="10"/>
  <c r="G20" i="10"/>
  <c r="G22" i="10"/>
  <c r="G21" i="10"/>
  <c r="G11" i="10"/>
  <c r="H11" i="10" s="1"/>
  <c r="G14" i="10"/>
  <c r="G12" i="10"/>
  <c r="M42" i="12"/>
  <c r="M39" i="12"/>
  <c r="M23" i="12"/>
  <c r="M24" i="12" s="1"/>
  <c r="M25" i="12" s="1"/>
  <c r="M59" i="12"/>
  <c r="M58" i="12"/>
  <c r="R4" i="10"/>
  <c r="R12" i="10"/>
  <c r="R5" i="10"/>
  <c r="R13" i="10"/>
  <c r="R6" i="10"/>
  <c r="R14" i="10"/>
  <c r="R7" i="10"/>
  <c r="R8" i="10"/>
  <c r="R9" i="10"/>
  <c r="R15" i="10"/>
  <c r="R10" i="10"/>
  <c r="R3" i="10"/>
  <c r="S3" i="10" s="1"/>
  <c r="H12" i="10" l="1"/>
  <c r="H13" i="10" s="1"/>
  <c r="H14" i="10" s="1"/>
  <c r="H15" i="10" s="1"/>
  <c r="K40" i="12" l="1"/>
  <c r="L40" i="12"/>
  <c r="K41" i="12"/>
  <c r="L41" i="12"/>
  <c r="K39" i="12"/>
  <c r="L39" i="12"/>
  <c r="L42" i="12" l="1"/>
  <c r="L43" i="12"/>
  <c r="K42" i="12"/>
  <c r="K43" i="12"/>
  <c r="K55" i="12"/>
  <c r="K56" i="12"/>
  <c r="K57" i="12"/>
  <c r="K11" i="12"/>
  <c r="K15" i="12"/>
  <c r="K21" i="12"/>
  <c r="K22" i="12" s="1"/>
  <c r="K58" i="12" l="1"/>
  <c r="K23" i="12"/>
  <c r="K24" i="12" s="1"/>
  <c r="K25" i="12" s="1"/>
  <c r="K59" i="12"/>
  <c r="G29" i="11" l="1"/>
  <c r="H29" i="11"/>
  <c r="I29" i="11"/>
  <c r="J29" i="11"/>
  <c r="G21" i="11" l="1"/>
  <c r="G22" i="11"/>
  <c r="G23" i="11"/>
  <c r="G24" i="11"/>
  <c r="G25" i="11" s="1"/>
  <c r="G21" i="13" l="1"/>
  <c r="J11" i="12" l="1"/>
  <c r="L11" i="12"/>
  <c r="J15" i="12"/>
  <c r="L15" i="12"/>
  <c r="J40" i="12"/>
  <c r="J41" i="12"/>
  <c r="I24" i="11"/>
  <c r="I25" i="11" s="1"/>
  <c r="I23" i="11"/>
  <c r="I22" i="11"/>
  <c r="I21" i="11"/>
  <c r="J39" i="12"/>
  <c r="J42" i="12" l="1"/>
  <c r="J43" i="12"/>
  <c r="K18" i="15" l="1"/>
  <c r="G19" i="13"/>
  <c r="G18" i="13"/>
  <c r="G17" i="13"/>
  <c r="G16" i="13"/>
  <c r="G15" i="13"/>
  <c r="G14" i="13"/>
  <c r="G13" i="13"/>
  <c r="G12" i="13"/>
  <c r="G20" i="13"/>
  <c r="F53" i="12"/>
  <c r="F51" i="12"/>
  <c r="F49" i="12"/>
  <c r="L59" i="12"/>
  <c r="J59" i="12"/>
  <c r="L58" i="12"/>
  <c r="J58" i="12"/>
  <c r="L57" i="12"/>
  <c r="J57" i="12"/>
  <c r="L56" i="12"/>
  <c r="J56" i="12"/>
  <c r="L55" i="12"/>
  <c r="J55" i="12"/>
  <c r="L21" i="12"/>
  <c r="L22" i="12" s="1"/>
  <c r="J21" i="12"/>
  <c r="D19" i="11"/>
  <c r="F26" i="11" s="1"/>
  <c r="F27" i="11" s="1"/>
  <c r="K29" i="11"/>
  <c r="E29" i="11"/>
  <c r="K24" i="11"/>
  <c r="K25" i="11" s="1"/>
  <c r="J24" i="11"/>
  <c r="J25" i="11" s="1"/>
  <c r="H24" i="11"/>
  <c r="H25" i="11" s="1"/>
  <c r="E24" i="11"/>
  <c r="E25" i="11" s="1"/>
  <c r="K23" i="11"/>
  <c r="J23" i="11"/>
  <c r="H23" i="11"/>
  <c r="E23" i="11"/>
  <c r="K22" i="11"/>
  <c r="J22" i="11"/>
  <c r="H22" i="11"/>
  <c r="E22" i="11"/>
  <c r="K21" i="11"/>
  <c r="J21" i="11"/>
  <c r="H21" i="11"/>
  <c r="E21" i="11"/>
  <c r="A14" i="11"/>
  <c r="A15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J22" i="12" l="1"/>
  <c r="M26" i="12"/>
  <c r="M27" i="12" s="1"/>
  <c r="H26" i="12"/>
  <c r="H27" i="12" s="1"/>
  <c r="I26" i="12"/>
  <c r="I27" i="12" s="1"/>
  <c r="K26" i="12"/>
  <c r="K27" i="12" s="1"/>
  <c r="G26" i="11"/>
  <c r="G27" i="11" s="1"/>
  <c r="F56" i="12"/>
  <c r="K26" i="11"/>
  <c r="K27" i="11" s="1"/>
  <c r="I26" i="11"/>
  <c r="I27" i="11" s="1"/>
  <c r="E17" i="15"/>
  <c r="G17" i="15" s="1"/>
  <c r="J26" i="12"/>
  <c r="L26" i="12"/>
  <c r="J23" i="12"/>
  <c r="J24" i="12" s="1"/>
  <c r="J25" i="12" s="1"/>
  <c r="L23" i="12"/>
  <c r="L24" i="12" s="1"/>
  <c r="L25" i="12" s="1"/>
  <c r="H26" i="11"/>
  <c r="H27" i="11" s="1"/>
  <c r="J26" i="11"/>
  <c r="J27" i="11" s="1"/>
  <c r="E26" i="11"/>
  <c r="L27" i="12" l="1"/>
  <c r="F27" i="12" s="1"/>
  <c r="J27" i="12"/>
  <c r="E27" i="11"/>
  <c r="D27" i="11" s="1"/>
  <c r="D26" i="11"/>
  <c r="C16" i="15" l="1"/>
  <c r="C21" i="13"/>
  <c r="D21" i="13" s="1"/>
  <c r="C17" i="15" l="1"/>
  <c r="I16" i="15"/>
  <c r="M16" i="15" s="1"/>
  <c r="C18" i="15" l="1"/>
  <c r="M18" i="15"/>
  <c r="M17" i="15"/>
  <c r="S4" i="10" l="1"/>
  <c r="S5" i="10" s="1"/>
  <c r="S6" i="10" s="1"/>
  <c r="S7" i="10" s="1"/>
  <c r="S8" i="10" s="1"/>
  <c r="S9" i="10" s="1"/>
  <c r="S10" i="10" s="1"/>
  <c r="S11" i="10" s="1"/>
  <c r="S12" i="10" s="1"/>
  <c r="S13" i="10" s="1"/>
  <c r="S14" i="10" s="1"/>
  <c r="S15" i="10" s="1"/>
</calcChain>
</file>

<file path=xl/sharedStrings.xml><?xml version="1.0" encoding="utf-8"?>
<sst xmlns="http://schemas.openxmlformats.org/spreadsheetml/2006/main" count="362" uniqueCount="179">
  <si>
    <t>Capacity Related Expense (CR)</t>
  </si>
  <si>
    <t>Direct Expense, Includes Fuel</t>
  </si>
  <si>
    <t>Indirect Expense</t>
  </si>
  <si>
    <t>CR Markup</t>
  </si>
  <si>
    <t>By Aircraft Type</t>
  </si>
  <si>
    <t>Less Psgr. Liability Insurance</t>
  </si>
  <si>
    <t>Linehaul Expense Allocable to Mail</t>
  </si>
  <si>
    <t xml:space="preserve">Percentage of Eligible Mail RTMs </t>
  </si>
  <si>
    <t>Aircraft Code</t>
  </si>
  <si>
    <t>Pax RTMs</t>
  </si>
  <si>
    <t>Frt RTMs Wtd. @ 0.75</t>
  </si>
  <si>
    <t>Mail RTMs</t>
  </si>
  <si>
    <t>Total RTMs</t>
  </si>
  <si>
    <t>Aircraft Miles</t>
  </si>
  <si>
    <t>Available Ton Miles (ATMs)</t>
  </si>
  <si>
    <t>Departures Performed</t>
  </si>
  <si>
    <t>Wtd. Deps. (GTOW)</t>
  </si>
  <si>
    <t>Ton Load Factor</t>
  </si>
  <si>
    <t>Stage Length</t>
  </si>
  <si>
    <t>ATMs per Mile</t>
  </si>
  <si>
    <t>RTMs per Mile</t>
  </si>
  <si>
    <t>RTMs per Hour</t>
  </si>
  <si>
    <t>Eligible Traffic</t>
  </si>
  <si>
    <t>Scheduled + Nonscheduled Traffic</t>
  </si>
  <si>
    <t>Block Hours, T-100</t>
  </si>
  <si>
    <t>.</t>
  </si>
  <si>
    <t>System Parameters for Each Carrier</t>
  </si>
  <si>
    <t>Total</t>
  </si>
  <si>
    <t>Return and Tax Markup</t>
  </si>
  <si>
    <t>T-100 Seg. Mail RTMs</t>
  </si>
  <si>
    <t>T-100 Mkt. Mail RTMs</t>
  </si>
  <si>
    <t>Carrier</t>
  </si>
  <si>
    <t>Price per Gallon</t>
  </si>
  <si>
    <t>Burn per Hour</t>
  </si>
  <si>
    <t>Costs per Hour</t>
  </si>
  <si>
    <t>Eligible Fuel Expense</t>
  </si>
  <si>
    <t>Cost per Eligible RTM</t>
  </si>
  <si>
    <t>Mail RTMs, Percentage</t>
  </si>
  <si>
    <t>Cost/RTM, Wtd. By Mail RTMs</t>
  </si>
  <si>
    <t>Total Block Hours, T-100 Segment</t>
  </si>
  <si>
    <t>Total Block Hours, Schedule F-2</t>
  </si>
  <si>
    <t>Eligible Mail RTMs, T-100 Segment</t>
  </si>
  <si>
    <t>K3</t>
  </si>
  <si>
    <t>Al. Seaplane</t>
  </si>
  <si>
    <t>J5</t>
  </si>
  <si>
    <t>Island</t>
  </si>
  <si>
    <t>2O</t>
  </si>
  <si>
    <t>Beaver</t>
  </si>
  <si>
    <t>Linehaul, Seaplane</t>
  </si>
  <si>
    <t>Total Eligible RTMs, T-100 Segment</t>
  </si>
  <si>
    <t>$/RTM</t>
  </si>
  <si>
    <t>Nonfuel</t>
  </si>
  <si>
    <t>Linehaul</t>
  </si>
  <si>
    <t>Actual Y</t>
  </si>
  <si>
    <t>Natural Log</t>
  </si>
  <si>
    <t>Regression Statistics</t>
  </si>
  <si>
    <t>Multiple R</t>
  </si>
  <si>
    <t>R Square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</si>
  <si>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</si>
  <si>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</si>
  <si>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</si>
  <si>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</si>
  <si>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</si>
  <si>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</si>
  <si>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</si>
  <si>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</si>
  <si>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</si>
  <si>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</si>
  <si>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</si>
  <si>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P-value</t>
  </si>
  <si>
    <t>Lower 95%</t>
  </si>
  <si>
    <t>Upper 95%</t>
  </si>
  <si>
    <t>X Variable 1</t>
  </si>
  <si>
    <t>Predicted Y</t>
  </si>
  <si>
    <t>Residuals</t>
  </si>
  <si>
    <t>Page 1 of 2</t>
  </si>
  <si>
    <t>Page 2 of 2</t>
  </si>
  <si>
    <t>(1)</t>
  </si>
  <si>
    <t>(2)</t>
  </si>
  <si>
    <t>(3)</t>
  </si>
  <si>
    <t>(4)</t>
  </si>
  <si>
    <t>(5)</t>
  </si>
  <si>
    <t>(6)</t>
  </si>
  <si>
    <t>Avg. Annual</t>
  </si>
  <si>
    <t>Change,</t>
  </si>
  <si>
    <t>Midpoint to</t>
  </si>
  <si>
    <t>Estimated</t>
  </si>
  <si>
    <t xml:space="preserve">Year Ended </t>
  </si>
  <si>
    <t xml:space="preserve">Midpoint </t>
  </si>
  <si>
    <t>Unit Cost at</t>
  </si>
  <si>
    <t>Current Rate</t>
  </si>
  <si>
    <t>Change from</t>
  </si>
  <si>
    <t>1/</t>
  </si>
  <si>
    <t>2/</t>
  </si>
  <si>
    <t>Change</t>
  </si>
  <si>
    <t>3/</t>
  </si>
  <si>
    <t>4/</t>
  </si>
  <si>
    <t>Current</t>
  </si>
  <si>
    <t>5/</t>
  </si>
  <si>
    <t>Unit Cost per</t>
  </si>
  <si>
    <t>Revenue Ton-Mile</t>
  </si>
  <si>
    <t>Fuel</t>
  </si>
  <si>
    <t>3/ Reflects the fact that from the midpoint of the reporting period to the midpoint of the prospective</t>
  </si>
  <si>
    <t>The total is the sum of the two. The final order will reflect the most recent quarterly fuel costs available at the time.</t>
  </si>
  <si>
    <t>5/ Column 4 ÷ Column 5 less 1.</t>
  </si>
  <si>
    <t>Increase</t>
  </si>
  <si>
    <t>Cumulative</t>
  </si>
  <si>
    <t>2-Ltr.</t>
  </si>
  <si>
    <t>A/C Type</t>
  </si>
  <si>
    <t>Percent</t>
  </si>
  <si>
    <t>Taquan</t>
  </si>
  <si>
    <t>Eligible</t>
  </si>
  <si>
    <t xml:space="preserve">Predicted </t>
  </si>
  <si>
    <t>Linehual, Seaplane</t>
  </si>
  <si>
    <t>Total Fuel Expense, Schedule F-2</t>
  </si>
  <si>
    <t>Total Gallons Issued, Schedule F-2</t>
  </si>
  <si>
    <t>Ratio of Total to Revenue Block Hours</t>
  </si>
  <si>
    <t>Adjusted R Square</t>
  </si>
  <si>
    <t>Standard Error</t>
  </si>
  <si>
    <t>t Stat</t>
  </si>
  <si>
    <t>Std. Error</t>
  </si>
  <si>
    <t>Alaska Seaplanes</t>
  </si>
  <si>
    <t>Island Air Service</t>
  </si>
  <si>
    <t>Island Air Express</t>
  </si>
  <si>
    <t>Caravan</t>
  </si>
  <si>
    <t>Eligible Block Hours, T-100 Segment</t>
  </si>
  <si>
    <t>Air Excursions LLC</t>
  </si>
  <si>
    <t>Pacific Airways, Inc.</t>
  </si>
  <si>
    <t>I4</t>
  </si>
  <si>
    <t>Appendix K</t>
  </si>
  <si>
    <t>Is. Air Exp</t>
  </si>
  <si>
    <t>G. Caravan</t>
  </si>
  <si>
    <t>Otter</t>
  </si>
  <si>
    <t>C206/7/8</t>
  </si>
  <si>
    <t>SUMMARY OUTPUT</t>
  </si>
  <si>
    <t>Lower 95.0%</t>
  </si>
  <si>
    <t>Upper 95.0%</t>
  </si>
  <si>
    <t>RESIDUAL OUTPUT</t>
  </si>
  <si>
    <t>Observation</t>
  </si>
  <si>
    <t>a 12-month period.</t>
  </si>
  <si>
    <t>Grand Total</t>
  </si>
  <si>
    <t>1/  Nonfuel, Appendix M, Page 1 of 2; Fuel, Appendix M, Page 2 of 2.</t>
  </si>
  <si>
    <t>2/ We assume fuel increases will be zero.  For nonfuel, see "predicted annual increase" in Appendix L, Page 1 of 2.</t>
  </si>
  <si>
    <t>Regression Analysis of the Nonfuel Linehaul Unit Cost per RTM</t>
  </si>
  <si>
    <t>EXP(Y)</t>
  </si>
  <si>
    <t xml:space="preserve">Annual </t>
  </si>
  <si>
    <t>Year-</t>
  </si>
  <si>
    <t>Ended</t>
  </si>
  <si>
    <t>Taquan Air Service</t>
  </si>
  <si>
    <t>Appendix H</t>
  </si>
  <si>
    <t>Appendix I</t>
  </si>
  <si>
    <t>Appendix J</t>
  </si>
  <si>
    <t>Aircraft Type</t>
  </si>
  <si>
    <t>Unique Carrier Name</t>
  </si>
  <si>
    <t>Block Hours</t>
  </si>
  <si>
    <t>Mail RTMS</t>
  </si>
  <si>
    <t>Kenmore Air Harbor</t>
  </si>
  <si>
    <t>Venture Travel LLC d/b/a Taquan Air Service</t>
  </si>
  <si>
    <t>PM Air, LLC</t>
  </si>
  <si>
    <t>Scott Air LLC dba Island Air Express</t>
  </si>
  <si>
    <t>Tropic Ocean Airways LLC</t>
  </si>
  <si>
    <t>Seaborne Virgin Islands, Inc.</t>
  </si>
  <si>
    <t>X4</t>
  </si>
  <si>
    <r>
      <t xml:space="preserve">Determination of Carriers Included in the Class Rates, One Percent Rule, YE </t>
    </r>
    <r>
      <rPr>
        <sz val="11"/>
        <color rgb="FFFF0000"/>
        <rFont val="Times New Roman"/>
        <family val="1"/>
      </rPr>
      <t>9-30-20</t>
    </r>
  </si>
  <si>
    <r>
      <t xml:space="preserve">Year Ended September 30, </t>
    </r>
    <r>
      <rPr>
        <sz val="8"/>
        <color rgb="FFFF0000"/>
        <rFont val="Times New Roman"/>
        <family val="1"/>
      </rPr>
      <t>2020</t>
    </r>
  </si>
  <si>
    <r>
      <t xml:space="preserve">Year Ended September 30, </t>
    </r>
    <r>
      <rPr>
        <sz val="11"/>
        <color rgb="FFFF0000"/>
        <rFont val="Times New Roman"/>
        <family val="1"/>
      </rPr>
      <t>2020</t>
    </r>
  </si>
  <si>
    <t>YE 6/30/10</t>
  </si>
  <si>
    <r>
      <rPr>
        <u/>
        <sz val="11"/>
        <rFont val="Times New Roman"/>
        <family val="1"/>
      </rPr>
      <t xml:space="preserve">to YE </t>
    </r>
    <r>
      <rPr>
        <u/>
        <sz val="11"/>
        <color rgb="FFFF0000"/>
        <rFont val="Times New Roman"/>
        <family val="1"/>
      </rPr>
      <t>9/30/20</t>
    </r>
  </si>
  <si>
    <r>
      <rPr>
        <u/>
        <sz val="11"/>
        <rFont val="Times New Roman"/>
        <family val="1"/>
      </rPr>
      <t xml:space="preserve">Order </t>
    </r>
    <r>
      <rPr>
        <u/>
        <sz val="11"/>
        <color rgb="FFFF0000"/>
        <rFont val="Times New Roman"/>
        <family val="1"/>
      </rPr>
      <t>2020-8-1</t>
    </r>
  </si>
  <si>
    <r>
      <t xml:space="preserve">4/ Fuel reflects YE </t>
    </r>
    <r>
      <rPr>
        <sz val="11"/>
        <color rgb="FFFF0000"/>
        <rFont val="Times New Roman"/>
        <family val="1"/>
      </rPr>
      <t>9-30-20</t>
    </r>
    <r>
      <rPr>
        <sz val="11"/>
        <color theme="1"/>
        <rFont val="Times New Roman"/>
        <family val="1"/>
      </rPr>
      <t xml:space="preserve">, Appendix M, Page 2 of 2.  Nonfuel is column (1) mulitplied by Column (3). </t>
    </r>
  </si>
  <si>
    <r>
      <t xml:space="preserve">Calculation of the Linehaul, Seaplane, </t>
    </r>
    <r>
      <rPr>
        <sz val="11"/>
        <rFont val="Times New Roman"/>
        <family val="1"/>
      </rPr>
      <t>YE</t>
    </r>
    <r>
      <rPr>
        <sz val="11"/>
        <color rgb="FFFF0000"/>
        <rFont val="Times New Roman"/>
        <family val="1"/>
      </rPr>
      <t xml:space="preserve"> 9-30-20</t>
    </r>
  </si>
  <si>
    <t xml:space="preserve"> </t>
  </si>
  <si>
    <r>
      <t>Circuity Markup (R6</t>
    </r>
    <r>
      <rPr>
        <sz val="10"/>
        <color theme="1"/>
        <rFont val="Calibri"/>
        <family val="2"/>
      </rPr>
      <t>÷</t>
    </r>
    <r>
      <rPr>
        <sz val="10"/>
        <color theme="1"/>
        <rFont val="Times New Roman"/>
        <family val="1"/>
      </rPr>
      <t>R7)-1</t>
    </r>
  </si>
  <si>
    <t>Marked Up Costs (R21*R11*R12*R15)</t>
  </si>
  <si>
    <t>Eligible Expense (R23*R46÷R30)</t>
  </si>
  <si>
    <t>Eligible Cost per RTM (R24÷R50)</t>
  </si>
  <si>
    <t>Cost per Block Hour (R11÷ R18)</t>
  </si>
  <si>
    <t>Cost Wtd. By Mail RTMs (R15*R16)</t>
  </si>
  <si>
    <r>
      <t xml:space="preserve">rate is 2 years.  </t>
    </r>
    <r>
      <rPr>
        <sz val="11"/>
        <color rgb="FFFF0000"/>
        <rFont val="Times New Roman"/>
        <family val="1"/>
      </rPr>
      <t>1.0751 x 1.0751 = 1.1558, where 1.0751</t>
    </r>
    <r>
      <rPr>
        <sz val="11"/>
        <color theme="1"/>
        <rFont val="Times New Roman"/>
        <family val="1"/>
      </rPr>
      <t xml:space="preserve"> is the average annual unit cost increase projected for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</si>
</sst>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&quot;$&quot;#,##0"/>
    <numFmt numFmtId="165" formatCode="&quot;$&quot;#,##0.00"/>
    <numFmt numFmtId="166" formatCode="&quot;$&quot;#,##0.0000"/>
    <numFmt numFmtId="167" formatCode="0.000%"/>
    <numFmt numFmtId="168" formatCode="0.0%"/>
    <numFmt numFmtId="169" formatCode="0.00000000"/>
    <numFmt numFmtId="170" formatCode="_(* #,##0_);_(* \(#,##0\);_(* &quot;-&quot;??_);_(@_)"/>
    <numFmt numFmtId="171" formatCode="#,##0.0000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8"/>
      <color theme="1"/>
      <name val="Times New Roman"/>
      <family val="1"/>
    </font>
    <font>
      <u/>
      <sz val="8"/>
      <color theme="1"/>
      <name val="Times New Roman"/>
      <family val="1"/>
    </font>
    <font>
      <u val="double"/>
      <sz val="8"/>
      <color theme="1"/>
      <name val="Times New Roman"/>
      <family val="1"/>
    </font>
    <font>
      <sz val="11"/>
      <color rgb="FFFF0000"/>
      <name val="Times New Roman"/>
      <family val="1"/>
    </font>
    <font>
      <u/>
      <sz val="11"/>
      <color rgb="FFFF0000"/>
      <name val="Times New Roman"/>
      <family val="1"/>
    </font>
    <font>
      <u/>
      <sz val="11"/>
      <name val="Times New Roman"/>
      <family val="1"/>
    </font>
    <font>
      <sz val="10"/>
      <color theme="1"/>
      <name val="Times New Roman"/>
      <family val="1"/>
    </font>
    <font>
      <sz val="8"/>
      <color rgb="FFFF0000"/>
      <name val="Times New Roman"/>
      <family val="1"/>
    </font>
    <font>
      <u val="double"/>
      <sz val="11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Times New Roman"/>
      <family val="1"/>
    </font>
    <font>
      <sz val="11"/>
      <name val="Times New Roman"/>
      <family val="1"/>
    </font>
    <font>
      <i/>
      <sz val="11"/>
      <color theme="1"/>
      <name val="Times New Roman"/>
      <family val="1"/>
    </font>
    <font>
      <u/>
      <sz val="10"/>
      <color theme="1"/>
      <name val="Times New Roman"/>
      <family val="1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128">
    <xf numFmtId="0" fontId="0" fillId="0" borderId="0" xfId="0"/>
    <xf numFmtId="0" fontId="1" fillId="0" borderId="0" xfId="0" applyFont="1" applyBorder="1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10" fontId="3" fillId="0" borderId="0" xfId="0" applyNumberFormat="1" applyFont="1"/>
    <xf numFmtId="0" fontId="1" fillId="0" borderId="1" xfId="0" applyFont="1" applyBorder="1" applyAlignment="1">
      <alignment horizontal="centerContinuous"/>
    </xf>
    <xf numFmtId="0" fontId="3" fillId="0" borderId="0" xfId="0" applyFont="1" applyBorder="1"/>
    <xf numFmtId="0" fontId="3" fillId="0" borderId="2" xfId="0" applyFont="1" applyBorder="1"/>
    <xf numFmtId="0" fontId="3" fillId="0" borderId="0" xfId="0" applyFont="1" applyAlignment="1">
      <alignment horizontal="centerContinuous"/>
    </xf>
    <xf numFmtId="166" fontId="3" fillId="0" borderId="0" xfId="0" applyNumberFormat="1" applyFont="1"/>
    <xf numFmtId="166" fontId="4" fillId="0" borderId="0" xfId="0" applyNumberFormat="1" applyFont="1"/>
    <xf numFmtId="10" fontId="1" fillId="0" borderId="0" xfId="0" applyNumberFormat="1" applyFont="1"/>
    <xf numFmtId="3" fontId="1" fillId="0" borderId="0" xfId="0" applyNumberFormat="1" applyFont="1"/>
    <xf numFmtId="3" fontId="2" fillId="0" borderId="0" xfId="0" applyNumberFormat="1" applyFont="1"/>
    <xf numFmtId="10" fontId="1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3" fontId="5" fillId="0" borderId="0" xfId="0" applyNumberFormat="1" applyFont="1"/>
    <xf numFmtId="3" fontId="6" fillId="0" borderId="0" xfId="0" applyNumberFormat="1" applyFont="1"/>
    <xf numFmtId="164" fontId="5" fillId="0" borderId="0" xfId="0" applyNumberFormat="1" applyFont="1"/>
    <xf numFmtId="10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165" fontId="5" fillId="0" borderId="0" xfId="0" applyNumberFormat="1" applyFont="1"/>
    <xf numFmtId="166" fontId="5" fillId="0" borderId="0" xfId="0" applyNumberFormat="1" applyFont="1"/>
    <xf numFmtId="10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167" fontId="5" fillId="0" borderId="0" xfId="0" applyNumberFormat="1" applyFont="1"/>
    <xf numFmtId="4" fontId="5" fillId="0" borderId="0" xfId="0" applyNumberFormat="1" applyFont="1"/>
    <xf numFmtId="0" fontId="1" fillId="0" borderId="2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14" fontId="1" fillId="0" borderId="0" xfId="0" applyNumberFormat="1" applyFont="1" applyBorder="1" applyAlignment="1">
      <alignment horizontal="left"/>
    </xf>
    <xf numFmtId="166" fontId="1" fillId="0" borderId="0" xfId="0" applyNumberFormat="1" applyFont="1" applyBorder="1"/>
    <xf numFmtId="0" fontId="1" fillId="0" borderId="0" xfId="0" applyFont="1" applyFill="1" applyBorder="1" applyAlignment="1"/>
    <xf numFmtId="10" fontId="1" fillId="0" borderId="0" xfId="0" applyNumberFormat="1" applyFont="1" applyBorder="1"/>
    <xf numFmtId="166" fontId="1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Continuous"/>
    </xf>
    <xf numFmtId="166" fontId="1" fillId="0" borderId="0" xfId="0" applyNumberFormat="1" applyFont="1" applyAlignment="1">
      <alignment horizontal="right"/>
    </xf>
    <xf numFmtId="166" fontId="2" fillId="0" borderId="0" xfId="0" applyNumberFormat="1" applyFont="1"/>
    <xf numFmtId="166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49" fontId="1" fillId="0" borderId="0" xfId="0" applyNumberFormat="1" applyFont="1" applyAlignment="1">
      <alignment horizontal="center"/>
    </xf>
    <xf numFmtId="14" fontId="9" fillId="0" borderId="0" xfId="0" applyNumberFormat="1" applyFont="1"/>
    <xf numFmtId="0" fontId="9" fillId="0" borderId="0" xfId="0" applyFont="1" applyAlignment="1">
      <alignment horizontal="right"/>
    </xf>
    <xf numFmtId="14" fontId="9" fillId="0" borderId="0" xfId="0" applyNumberFormat="1" applyFont="1" applyAlignment="1">
      <alignment horizontal="right"/>
    </xf>
    <xf numFmtId="14" fontId="2" fillId="0" borderId="0" xfId="0" applyNumberFormat="1" applyFont="1"/>
    <xf numFmtId="14" fontId="2" fillId="0" borderId="0" xfId="0" applyNumberFormat="1" applyFont="1" applyAlignment="1">
      <alignment horizontal="right"/>
    </xf>
    <xf numFmtId="10" fontId="2" fillId="0" borderId="0" xfId="0" applyNumberFormat="1" applyFont="1"/>
    <xf numFmtId="3" fontId="11" fillId="0" borderId="0" xfId="0" applyNumberFormat="1" applyFont="1" applyAlignment="1">
      <alignment horizontal="right"/>
    </xf>
    <xf numFmtId="10" fontId="11" fillId="0" borderId="0" xfId="0" applyNumberFormat="1" applyFont="1"/>
    <xf numFmtId="0" fontId="1" fillId="2" borderId="0" xfId="0" applyFont="1" applyFill="1"/>
    <xf numFmtId="0" fontId="0" fillId="0" borderId="0" xfId="0" applyFill="1" applyBorder="1" applyAlignment="1"/>
    <xf numFmtId="0" fontId="0" fillId="0" borderId="3" xfId="0" applyFill="1" applyBorder="1" applyAlignment="1"/>
    <xf numFmtId="166" fontId="7" fillId="2" borderId="0" xfId="0" applyNumberFormat="1" applyFont="1" applyFill="1" applyAlignment="1">
      <alignment horizontal="right"/>
    </xf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164" fontId="1" fillId="0" borderId="1" xfId="0" applyNumberFormat="1" applyFont="1" applyBorder="1" applyAlignment="1">
      <alignment horizontal="centerContinuous"/>
    </xf>
    <xf numFmtId="3" fontId="2" fillId="0" borderId="0" xfId="0" applyNumberFormat="1" applyFont="1" applyAlignment="1">
      <alignment horizontal="right"/>
    </xf>
    <xf numFmtId="165" fontId="1" fillId="0" borderId="0" xfId="0" applyNumberFormat="1" applyFont="1"/>
    <xf numFmtId="167" fontId="1" fillId="0" borderId="0" xfId="0" applyNumberFormat="1" applyFont="1" applyAlignment="1">
      <alignment horizontal="right"/>
    </xf>
    <xf numFmtId="166" fontId="13" fillId="2" borderId="0" xfId="0" applyNumberFormat="1" applyFont="1" applyFill="1" applyAlignment="1">
      <alignment horizontal="right"/>
    </xf>
    <xf numFmtId="0" fontId="14" fillId="0" borderId="0" xfId="0" applyFont="1" applyAlignment="1">
      <alignment horizontal="center"/>
    </xf>
    <xf numFmtId="3" fontId="0" fillId="0" borderId="0" xfId="0" applyNumberFormat="1"/>
    <xf numFmtId="0" fontId="1" fillId="2" borderId="0" xfId="0" applyFont="1" applyFill="1" applyBorder="1"/>
    <xf numFmtId="164" fontId="1" fillId="3" borderId="0" xfId="0" applyNumberFormat="1" applyFont="1" applyFill="1"/>
    <xf numFmtId="3" fontId="1" fillId="3" borderId="0" xfId="0" applyNumberFormat="1" applyFont="1" applyFill="1"/>
    <xf numFmtId="164" fontId="5" fillId="3" borderId="0" xfId="0" applyNumberFormat="1" applyFont="1" applyFill="1"/>
    <xf numFmtId="3" fontId="5" fillId="3" borderId="0" xfId="0" applyNumberFormat="1" applyFont="1" applyFill="1"/>
    <xf numFmtId="164" fontId="6" fillId="3" borderId="0" xfId="0" applyNumberFormat="1" applyFont="1" applyFill="1"/>
    <xf numFmtId="3" fontId="6" fillId="3" borderId="0" xfId="0" applyNumberFormat="1" applyFont="1" applyFill="1"/>
    <xf numFmtId="10" fontId="1" fillId="0" borderId="0" xfId="1" applyNumberFormat="1" applyFont="1" applyBorder="1"/>
    <xf numFmtId="0" fontId="16" fillId="0" borderId="4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Continuous"/>
    </xf>
    <xf numFmtId="3" fontId="1" fillId="0" borderId="0" xfId="0" applyNumberFormat="1" applyFont="1" applyBorder="1"/>
    <xf numFmtId="0" fontId="0" fillId="0" borderId="5" xfId="0" applyBorder="1"/>
    <xf numFmtId="168" fontId="1" fillId="0" borderId="0" xfId="1" applyNumberFormat="1" applyFont="1"/>
    <xf numFmtId="168" fontId="1" fillId="0" borderId="5" xfId="1" applyNumberFormat="1" applyFont="1" applyBorder="1"/>
    <xf numFmtId="168" fontId="1" fillId="0" borderId="0" xfId="0" applyNumberFormat="1" applyFont="1"/>
    <xf numFmtId="0" fontId="0" fillId="0" borderId="3" xfId="0" applyBorder="1"/>
    <xf numFmtId="168" fontId="1" fillId="0" borderId="3" xfId="1" applyNumberFormat="1" applyFont="1" applyBorder="1"/>
    <xf numFmtId="168" fontId="1" fillId="0" borderId="3" xfId="0" applyNumberFormat="1" applyFont="1" applyBorder="1"/>
    <xf numFmtId="168" fontId="1" fillId="0" borderId="5" xfId="0" applyNumberFormat="1" applyFont="1" applyBorder="1"/>
    <xf numFmtId="10" fontId="1" fillId="0" borderId="0" xfId="0" applyNumberFormat="1" applyFont="1" applyBorder="1" applyAlignment="1">
      <alignment horizontal="right"/>
    </xf>
    <xf numFmtId="10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164" fontId="17" fillId="3" borderId="0" xfId="0" applyNumberFormat="1" applyFont="1" applyFill="1"/>
    <xf numFmtId="169" fontId="1" fillId="0" borderId="0" xfId="0" applyNumberFormat="1" applyFont="1" applyBorder="1"/>
    <xf numFmtId="169" fontId="1" fillId="0" borderId="3" xfId="0" applyNumberFormat="1" applyFont="1" applyBorder="1"/>
    <xf numFmtId="166" fontId="1" fillId="0" borderId="3" xfId="0" applyNumberFormat="1" applyFont="1" applyBorder="1" applyAlignment="1">
      <alignment horizontal="right"/>
    </xf>
    <xf numFmtId="0" fontId="1" fillId="0" borderId="3" xfId="0" applyFont="1" applyFill="1" applyBorder="1" applyAlignment="1"/>
    <xf numFmtId="0" fontId="19" fillId="0" borderId="4" xfId="0" applyFont="1" applyFill="1" applyBorder="1" applyAlignment="1">
      <alignment horizontal="centerContinuous"/>
    </xf>
    <xf numFmtId="170" fontId="0" fillId="0" borderId="0" xfId="2" applyNumberFormat="1" applyFont="1"/>
    <xf numFmtId="170" fontId="0" fillId="0" borderId="3" xfId="2" applyNumberFormat="1" applyFont="1" applyBorder="1"/>
    <xf numFmtId="170" fontId="0" fillId="0" borderId="5" xfId="2" applyNumberFormat="1" applyFont="1" applyBorder="1"/>
    <xf numFmtId="4" fontId="1" fillId="0" borderId="0" xfId="0" applyNumberFormat="1" applyFont="1"/>
    <xf numFmtId="170" fontId="1" fillId="0" borderId="0" xfId="2" applyNumberFormat="1" applyFont="1"/>
    <xf numFmtId="0" fontId="0" fillId="0" borderId="0" xfId="0" applyBorder="1"/>
    <xf numFmtId="168" fontId="1" fillId="0" borderId="0" xfId="1" applyNumberFormat="1" applyFont="1" applyBorder="1"/>
    <xf numFmtId="168" fontId="1" fillId="0" borderId="0" xfId="0" applyNumberFormat="1" applyFont="1" applyBorder="1"/>
    <xf numFmtId="170" fontId="0" fillId="0" borderId="0" xfId="2" applyNumberFormat="1" applyFont="1" applyBorder="1"/>
    <xf numFmtId="170" fontId="1" fillId="0" borderId="0" xfId="2" applyNumberFormat="1" applyFont="1" applyBorder="1"/>
    <xf numFmtId="43" fontId="5" fillId="0" borderId="0" xfId="2" applyFont="1"/>
    <xf numFmtId="3" fontId="18" fillId="3" borderId="0" xfId="0" applyNumberFormat="1" applyFont="1" applyFill="1"/>
    <xf numFmtId="171" fontId="5" fillId="0" borderId="0" xfId="0" applyNumberFormat="1" applyFont="1" applyAlignment="1">
      <alignment horizontal="right"/>
    </xf>
    <xf numFmtId="0" fontId="11" fillId="0" borderId="0" xfId="0" applyFont="1"/>
    <xf numFmtId="0" fontId="20" fillId="0" borderId="0" xfId="0" applyFont="1"/>
    <xf numFmtId="1" fontId="11" fillId="0" borderId="0" xfId="0" applyNumberFormat="1" applyFont="1"/>
    <xf numFmtId="3" fontId="11" fillId="0" borderId="0" xfId="0" applyNumberFormat="1" applyFont="1"/>
    <xf numFmtId="3" fontId="20" fillId="0" borderId="0" xfId="0" applyNumberFormat="1" applyFont="1"/>
    <xf numFmtId="3" fontId="5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Nonfuel Linehaul, Unit Cost per RTM, </a:t>
            </a:r>
          </a:p>
          <a:p>
            <a:pPr>
              <a:defRPr/>
            </a:pPr>
            <a:r>
              <a:rPr lang="en-US"/>
              <a:t>Actual</a:t>
            </a:r>
            <a:r>
              <a:rPr lang="en-US" baseline="0"/>
              <a:t> vs. Predicted</a:t>
            </a:r>
            <a:endParaRPr lang="en-US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2.0888083320966928E-2"/>
                  <c:y val="0.2254348542060799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`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xVal>
            <c:numRef>
              <c:f>'Appendix I SEA 2020'!$B$12:$B$21</c:f>
              <c:numCache>
                <c:formatCode>m/d/yyyy</c:formatCode>
                <c:ptCount val="10"/>
                <c:pt idx="0">
                  <c:v>40359</c:v>
                </c:pt>
                <c:pt idx="1">
                  <c:v>41182</c:v>
                </c:pt>
                <c:pt idx="2">
                  <c:v>41547</c:v>
                </c:pt>
                <c:pt idx="3">
                  <c:v>41912</c:v>
                </c:pt>
                <c:pt idx="4">
                  <c:v>42277</c:v>
                </c:pt>
                <c:pt idx="5">
                  <c:v>42643</c:v>
                </c:pt>
                <c:pt idx="6">
                  <c:v>43008</c:v>
                </c:pt>
                <c:pt idx="7">
                  <c:v>43373</c:v>
                </c:pt>
                <c:pt idx="8">
                  <c:v>43738</c:v>
                </c:pt>
                <c:pt idx="9">
                  <c:v>44104</c:v>
                </c:pt>
              </c:numCache>
            </c:numRef>
          </c:xVal>
          <c:yVal>
            <c:numRef>
              <c:f>'Appendix I SEA 2020'!$D$12:$D$21</c:f>
              <c:numCache>
                <c:formatCode>0.00000000</c:formatCode>
                <c:ptCount val="10"/>
                <c:pt idx="0">
                  <c:v>3.2198593410575547</c:v>
                </c:pt>
                <c:pt idx="1">
                  <c:v>3.2078067884972934</c:v>
                </c:pt>
                <c:pt idx="2">
                  <c:v>3.1431043159580021</c:v>
                </c:pt>
                <c:pt idx="3">
                  <c:v>3.1380734954217515</c:v>
                </c:pt>
                <c:pt idx="4">
                  <c:v>3.2419851033299976</c:v>
                </c:pt>
                <c:pt idx="5">
                  <c:v>3.2502310707905391</c:v>
                </c:pt>
                <c:pt idx="6">
                  <c:v>3.2985110649226965</c:v>
                </c:pt>
                <c:pt idx="7">
                  <c:v>3.360392748102309</c:v>
                </c:pt>
                <c:pt idx="8">
                  <c:v>3.5158317617975925</c:v>
                </c:pt>
                <c:pt idx="9">
                  <c:v>4.2966740443345763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A4-453E-A4FE-773EC89648FA}"/>
            </c:ext>
          </c:extLst>
        </c:ser>
        <c:ser>
          <c:idx val="1"/>
          <c:order val="1"/>
          <c:tx>
            <c:v>Predicted Y</c:v>
          </c:tx>
          <c:spPr>
            <a:ln w="28575">
              <a:noFill/>
            </a:ln>
          </c:spPr>
          <c:xVal>
            <c:numRef>
              <c:f>'Appendix I SEA 2020'!$B$12:$B$21</c:f>
              <c:numCache>
                <c:formatCode>m/d/yyyy</c:formatCode>
                <c:ptCount val="10"/>
                <c:pt idx="0">
                  <c:v>40359</c:v>
                </c:pt>
                <c:pt idx="1">
                  <c:v>41182</c:v>
                </c:pt>
                <c:pt idx="2">
                  <c:v>41547</c:v>
                </c:pt>
                <c:pt idx="3">
                  <c:v>41912</c:v>
                </c:pt>
                <c:pt idx="4">
                  <c:v>42277</c:v>
                </c:pt>
                <c:pt idx="5">
                  <c:v>42643</c:v>
                </c:pt>
                <c:pt idx="6">
                  <c:v>43008</c:v>
                </c:pt>
                <c:pt idx="7">
                  <c:v>43373</c:v>
                </c:pt>
                <c:pt idx="8">
                  <c:v>43738</c:v>
                </c:pt>
                <c:pt idx="9">
                  <c:v>44104</c:v>
                </c:pt>
              </c:numCache>
            </c:numRef>
          </c:xVal>
          <c:yVal>
            <c:numRef>
              <c:f>'Appendix I SEA 2020'!$E$12:$E$21</c:f>
              <c:numCache>
                <c:formatCode>General</c:formatCode>
                <c:ptCount val="10"/>
                <c:pt idx="0">
                  <c:v>2.9594826557122431</c:v>
                </c:pt>
                <c:pt idx="1">
                  <c:v>3.1227629717120955</c:v>
                </c:pt>
                <c:pt idx="2">
                  <c:v>3.195177692659783</c:v>
                </c:pt>
                <c:pt idx="3">
                  <c:v>3.2675924136074688</c:v>
                </c:pt>
                <c:pt idx="4">
                  <c:v>3.3400071345551563</c:v>
                </c:pt>
                <c:pt idx="5">
                  <c:v>3.4126202519985895</c:v>
                </c:pt>
                <c:pt idx="6">
                  <c:v>3.4850349729462771</c:v>
                </c:pt>
                <c:pt idx="7">
                  <c:v>3.5574496938939646</c:v>
                </c:pt>
                <c:pt idx="8">
                  <c:v>3.6298644148416503</c:v>
                </c:pt>
                <c:pt idx="9">
                  <c:v>3.7024775322850854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0A4-453E-A4FE-773EC8964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426816"/>
        <c:axId val="135428736"/>
      </c:scatterChart>
      <c:valAx>
        <c:axId val="135426816"/>
        <c:scaling>
          <c:orientation val="minMax"/>
          <c:max val="44200"/>
          <c:min val="403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Years</a:t>
                </a:r>
                <a:r>
                  <a:rPr lang="en-US" baseline="0"/>
                  <a:t> </a:t>
                </a:r>
                <a:r>
                  <a:rPr lang="en-US"/>
                  <a:t>Ended June 30, 2010, through September 30, 2020</a:t>
                </a:r>
              </a:p>
            </c:rich>
          </c:tx>
          <c:overlay val="0"/>
        </c:title>
        <c:numFmt formatCode="[$-409]mmm\-yy;@" sourceLinked="0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35428736"/>
        <c:crosses val="autoZero"/>
        <c:crossBetween val="midCat"/>
      </c:valAx>
      <c:valAx>
        <c:axId val="1354287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Unit Cost per RTM, Natural Log</a:t>
                </a: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crossAx val="135426816"/>
        <c:crosses val="autoZero"/>
        <c:crossBetween val="midCat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32</xdr:row>
      <xdr:rowOff>0</xdr:rowOff>
    </xdr:from>
    <xdr:to>
      <xdr:col>16</xdr:col>
      <xdr:colOff>142875</xdr:colOff>
      <xdr:row>62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D32260E-840A-4F4A-B7C2-7B1CAE169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6010275"/>
          <a:ext cx="7867650" cy="5476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35072</xdr:colOff>
      <xdr:row>5</xdr:row>
      <xdr:rowOff>31824</xdr:rowOff>
    </xdr:from>
    <xdr:to>
      <xdr:col>21</xdr:col>
      <xdr:colOff>114299</xdr:colOff>
      <xdr:row>31</xdr:row>
      <xdr:rowOff>160020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44</xdr:row>
      <xdr:rowOff>0</xdr:rowOff>
    </xdr:from>
    <xdr:to>
      <xdr:col>10</xdr:col>
      <xdr:colOff>180975</xdr:colOff>
      <xdr:row>87</xdr:row>
      <xdr:rowOff>57150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E41074C-40A8-43DD-BB04-A8DC2DD6D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429625"/>
          <a:ext cx="7439025" cy="824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45</xdr:row>
      <xdr:rowOff>0</xdr:rowOff>
    </xdr:from>
    <xdr:to>
      <xdr:col>23</xdr:col>
      <xdr:colOff>9525</xdr:colOff>
      <xdr:row>78</xdr:row>
      <xdr:rowOff>38100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3713FEE-089A-4029-8C3A-856DF65B8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8620125"/>
          <a:ext cx="7324725" cy="6324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1</xdr:row>
      <xdr:rowOff>0</xdr:rowOff>
    </xdr:from>
    <xdr:to>
      <xdr:col>26</xdr:col>
      <xdr:colOff>276225</xdr:colOff>
      <xdr:row>60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139B344-0D25-45D6-94BA-EC75DA9E2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142875"/>
          <a:ext cx="7591425" cy="9486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11</xdr:col>
      <xdr:colOff>9525</xdr:colOff>
      <xdr:row>59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7A08C85-802B-4052-97CF-3B8716DEA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8248650" cy="5534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10</xdr:col>
      <xdr:colOff>9525</xdr:colOff>
      <xdr:row>48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78BBE1-3A23-464B-94B5-8D5D5FA11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19650"/>
          <a:ext cx="5943600" cy="444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28"/>
  <sheetViews>
    <sheetView showGridLines="0" tabSelected="1" workbookViewId="0">
      <selection activeCell="C33" sqref="C33"/>
    </sheetView>
  </sheetViews>
  <sheetFormatPr defaultColWidth="9.140625" defaultRowHeight="14.25" x14ac:dyDescent="0.2"/>
  <cols>
    <col min="1" max="1" width="2.7109375" style="6" customWidth="1"/>
    <col min="2" max="2" width="17.5703125" style="6" bestFit="1" customWidth="1"/>
    <col min="3" max="3" width="11.28515625" style="6" bestFit="1" customWidth="1"/>
    <col min="4" max="4" width="2.85546875" style="6" bestFit="1" customWidth="1"/>
    <col min="5" max="5" width="13.85546875" style="6" bestFit="1" customWidth="1"/>
    <col min="6" max="6" width="2.85546875" style="6" bestFit="1" customWidth="1"/>
    <col min="7" max="7" width="12" style="6" bestFit="1" customWidth="1"/>
    <col min="8" max="8" width="2.85546875" style="6" bestFit="1" customWidth="1"/>
    <col min="9" max="9" width="12.28515625" style="6" bestFit="1" customWidth="1"/>
    <col min="10" max="10" width="2.7109375" style="6" bestFit="1" customWidth="1"/>
    <col min="11" max="11" width="16.85546875" style="6" bestFit="1" customWidth="1"/>
    <col min="12" max="12" width="2.85546875" style="6" bestFit="1" customWidth="1"/>
    <col min="13" max="13" width="12.28515625" style="6" bestFit="1" customWidth="1"/>
    <col min="14" max="14" width="4.85546875" style="6" customWidth="1"/>
    <col min="15" max="16384" width="9.140625" style="6"/>
  </cols>
  <sheetData>
    <row r="1" spans="2:14" ht="15" x14ac:dyDescent="0.25">
      <c r="N1" s="3"/>
    </row>
    <row r="2" spans="2:14" ht="15" x14ac:dyDescent="0.25">
      <c r="N2" s="3" t="s">
        <v>48</v>
      </c>
    </row>
    <row r="3" spans="2:14" ht="15" x14ac:dyDescent="0.25">
      <c r="N3" s="3" t="s">
        <v>149</v>
      </c>
    </row>
    <row r="5" spans="2:14" ht="15" x14ac:dyDescent="0.25">
      <c r="C5" s="55" t="s">
        <v>170</v>
      </c>
      <c r="D5" s="11"/>
      <c r="E5" s="11"/>
      <c r="F5" s="11"/>
      <c r="G5" s="11"/>
      <c r="H5" s="11"/>
      <c r="I5" s="11"/>
      <c r="J5" s="11"/>
      <c r="K5" s="11"/>
      <c r="L5" s="11"/>
      <c r="M5" s="11"/>
    </row>
    <row r="8" spans="2:14" ht="15" x14ac:dyDescent="0.25">
      <c r="B8" s="2"/>
      <c r="C8" s="56" t="s">
        <v>77</v>
      </c>
      <c r="D8" s="56"/>
      <c r="E8" s="56" t="s">
        <v>78</v>
      </c>
      <c r="F8" s="56"/>
      <c r="G8" s="56" t="s">
        <v>79</v>
      </c>
      <c r="H8" s="56"/>
      <c r="I8" s="56" t="s">
        <v>80</v>
      </c>
      <c r="J8" s="56"/>
      <c r="K8" s="56" t="s">
        <v>81</v>
      </c>
      <c r="L8" s="56"/>
      <c r="M8" s="56" t="s">
        <v>82</v>
      </c>
    </row>
    <row r="9" spans="2:14" s="2" customFormat="1" ht="15" x14ac:dyDescent="0.25"/>
    <row r="10" spans="2:14" s="2" customFormat="1" ht="15" x14ac:dyDescent="0.25">
      <c r="E10" s="3" t="s">
        <v>83</v>
      </c>
    </row>
    <row r="11" spans="2:14" s="2" customFormat="1" ht="15" x14ac:dyDescent="0.25">
      <c r="E11" s="3" t="s">
        <v>84</v>
      </c>
      <c r="G11" s="3" t="s">
        <v>85</v>
      </c>
      <c r="H11" s="3"/>
      <c r="I11" s="3" t="s">
        <v>86</v>
      </c>
      <c r="J11" s="3"/>
      <c r="K11" s="3"/>
      <c r="L11" s="3"/>
      <c r="M11" s="3"/>
    </row>
    <row r="12" spans="2:14" s="2" customFormat="1" ht="15" x14ac:dyDescent="0.25">
      <c r="C12" s="2" t="s">
        <v>87</v>
      </c>
      <c r="E12" s="3" t="s">
        <v>166</v>
      </c>
      <c r="G12" s="3" t="s">
        <v>88</v>
      </c>
      <c r="H12" s="3"/>
      <c r="I12" s="3" t="s">
        <v>89</v>
      </c>
      <c r="J12" s="3"/>
      <c r="K12" s="3" t="s">
        <v>90</v>
      </c>
      <c r="L12" s="3"/>
      <c r="M12" s="3" t="s">
        <v>91</v>
      </c>
    </row>
    <row r="13" spans="2:14" s="4" customFormat="1" ht="15" x14ac:dyDescent="0.25">
      <c r="C13" s="57">
        <v>44104</v>
      </c>
      <c r="D13" s="60" t="s">
        <v>92</v>
      </c>
      <c r="E13" s="58" t="s">
        <v>167</v>
      </c>
      <c r="F13" s="4" t="s">
        <v>93</v>
      </c>
      <c r="G13" s="5" t="s">
        <v>94</v>
      </c>
      <c r="H13" s="5" t="s">
        <v>95</v>
      </c>
      <c r="I13" s="59">
        <v>44651</v>
      </c>
      <c r="J13" s="61" t="s">
        <v>96</v>
      </c>
      <c r="K13" s="58" t="s">
        <v>168</v>
      </c>
      <c r="L13" s="5"/>
      <c r="M13" s="5" t="s">
        <v>97</v>
      </c>
      <c r="N13" s="4" t="s">
        <v>98</v>
      </c>
    </row>
    <row r="14" spans="2:14" s="2" customFormat="1" ht="15" x14ac:dyDescent="0.25">
      <c r="B14" s="2" t="s">
        <v>99</v>
      </c>
    </row>
    <row r="15" spans="2:14" s="2" customFormat="1" ht="15" x14ac:dyDescent="0.25">
      <c r="B15" s="2" t="s">
        <v>100</v>
      </c>
    </row>
    <row r="16" spans="2:14" ht="15" x14ac:dyDescent="0.25">
      <c r="B16" s="54" t="s">
        <v>101</v>
      </c>
      <c r="C16" s="53">
        <f>'Appendix J 2 SEA 2020'!D27</f>
        <v>5.0672507940469025</v>
      </c>
      <c r="D16" s="12"/>
      <c r="E16" s="2">
        <v>0</v>
      </c>
      <c r="G16" s="2">
        <v>0</v>
      </c>
      <c r="I16" s="53">
        <f>C16</f>
        <v>5.0672507940469025</v>
      </c>
      <c r="J16" s="12"/>
      <c r="K16" s="53">
        <v>4.6071999999999997</v>
      </c>
      <c r="L16" s="12"/>
      <c r="M16" s="14">
        <f>I16/K16-1</f>
        <v>9.9854747796254362E-2</v>
      </c>
    </row>
    <row r="17" spans="2:13" ht="15" x14ac:dyDescent="0.25">
      <c r="B17" s="54" t="s">
        <v>51</v>
      </c>
      <c r="C17" s="52">
        <f>'Appendix J SEA 2020'!F27-C16</f>
        <v>73.45507863451472</v>
      </c>
      <c r="D17" s="13"/>
      <c r="E17" s="14">
        <f>'Appendix I SEA 2020'!$H$12</f>
        <v>7.5101118576166082E-2</v>
      </c>
      <c r="F17" s="7"/>
      <c r="G17" s="14">
        <f>(1+E17)*(1+(E17*1))-1</f>
        <v>0.15584241516372344</v>
      </c>
      <c r="H17" s="7"/>
      <c r="I17" s="52">
        <f>(1+G17)*C17</f>
        <v>84.902495494958714</v>
      </c>
      <c r="J17" s="13"/>
      <c r="K17" s="52">
        <f>39.6429-4.6072</f>
        <v>35.035699999999999</v>
      </c>
      <c r="L17" s="12"/>
      <c r="M17" s="62">
        <f>I17/K17-1</f>
        <v>1.4233138054886507</v>
      </c>
    </row>
    <row r="18" spans="2:13" ht="15" x14ac:dyDescent="0.25">
      <c r="C18" s="53">
        <f>SUM(C16:C17)</f>
        <v>78.522329428561619</v>
      </c>
      <c r="D18" s="12"/>
      <c r="I18" s="53">
        <f>SUM(I16:I17)+0.0001</f>
        <v>89.969846289005616</v>
      </c>
      <c r="J18" s="12"/>
      <c r="K18" s="53">
        <f>SUM(K16:K17)</f>
        <v>39.642899999999997</v>
      </c>
      <c r="L18" s="12"/>
      <c r="M18" s="14">
        <f>I18/K18-1</f>
        <v>1.2695071825977822</v>
      </c>
    </row>
    <row r="21" spans="2:13" ht="15" x14ac:dyDescent="0.25">
      <c r="B21" s="35" t="s">
        <v>141</v>
      </c>
      <c r="C21" s="10"/>
      <c r="D21" s="10"/>
      <c r="E21" s="10"/>
      <c r="F21" s="10"/>
      <c r="G21" s="10"/>
      <c r="H21" s="10"/>
      <c r="I21" s="10"/>
      <c r="J21" s="10"/>
      <c r="K21" s="10"/>
      <c r="L21" s="9"/>
    </row>
    <row r="22" spans="2:13" ht="15" x14ac:dyDescent="0.25">
      <c r="B22" s="2" t="s">
        <v>142</v>
      </c>
    </row>
    <row r="23" spans="2:13" ht="15" x14ac:dyDescent="0.25">
      <c r="B23" s="2" t="s">
        <v>102</v>
      </c>
    </row>
    <row r="24" spans="2:13" ht="15" x14ac:dyDescent="0.25">
      <c r="B24" s="2" t="s">
        <v>178</v>
      </c>
    </row>
    <row r="25" spans="2:13" ht="15" x14ac:dyDescent="0.25">
      <c r="B25" s="2" t="s">
        <v>139</v>
      </c>
    </row>
    <row r="26" spans="2:13" ht="15" x14ac:dyDescent="0.25">
      <c r="B26" s="2" t="s">
        <v>169</v>
      </c>
    </row>
    <row r="27" spans="2:13" ht="15" x14ac:dyDescent="0.25">
      <c r="B27" s="2" t="s">
        <v>103</v>
      </c>
    </row>
    <row r="28" spans="2:13" ht="15" x14ac:dyDescent="0.25">
      <c r="B28" s="2" t="s">
        <v>104</v>
      </c>
    </row>
  </sheetData>
  <pageMargins left="0.7" right="0.7" top="0.75" bottom="0.75" header="0.3" footer="0.3"/>
  <pageSetup scale="78" orientation="portrait" verticalDpi="598" r:id="rId1"/>
  <ignoredErrors>
    <ignoredError sqref="C8:M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323C0-D312-4BA2-B109-3760A05D9C27}">
  <dimension ref="A1:I34"/>
  <sheetViews>
    <sheetView workbookViewId="0">
      <selection activeCell="B4" sqref="B4:B8"/>
    </sheetView>
  </sheetViews>
  <sheetFormatPr defaultRowHeight="15" x14ac:dyDescent="0.25"/>
  <sheetData>
    <row r="1" spans="1:9" x14ac:dyDescent="0.25">
      <c r="A1" t="s">
        <v>134</v>
      </c>
    </row>
    <row r="2" spans="1:9" ht="15.75" thickBot="1" x14ac:dyDescent="0.3"/>
    <row r="3" spans="1:9" x14ac:dyDescent="0.25">
      <c r="A3" s="87" t="s">
        <v>55</v>
      </c>
      <c r="B3" s="87"/>
    </row>
    <row r="4" spans="1:9" x14ac:dyDescent="0.25">
      <c r="A4" s="66" t="s">
        <v>56</v>
      </c>
      <c r="B4" s="66">
        <v>0.68344614700061246</v>
      </c>
    </row>
    <row r="5" spans="1:9" x14ac:dyDescent="0.25">
      <c r="A5" s="66" t="s">
        <v>57</v>
      </c>
      <c r="B5" s="66">
        <v>0.46709863584998279</v>
      </c>
    </row>
    <row r="6" spans="1:9" x14ac:dyDescent="0.25">
      <c r="A6" s="66" t="s">
        <v>117</v>
      </c>
      <c r="B6" s="66">
        <v>0.4004859653312306</v>
      </c>
    </row>
    <row r="7" spans="1:9" x14ac:dyDescent="0.25">
      <c r="A7" s="66" t="s">
        <v>118</v>
      </c>
      <c r="B7" s="66">
        <v>0.26697129283736432</v>
      </c>
    </row>
    <row r="8" spans="1:9" ht="15.75" thickBot="1" x14ac:dyDescent="0.3">
      <c r="A8" s="67" t="s">
        <v>58</v>
      </c>
      <c r="B8" s="67">
        <v>10</v>
      </c>
    </row>
    <row r="10" spans="1:9" ht="15.75" thickBot="1" x14ac:dyDescent="0.3">
      <c r="A10" t="s">
        <v>59</v>
      </c>
    </row>
    <row r="11" spans="1:9" x14ac:dyDescent="0.25">
      <c r="A11" s="86"/>
      <c r="B11" s="86" t="s">
        <v>63</v>
      </c>
      <c r="C11" s="86" t="s">
        <v>64</v>
      </c>
      <c r="D11" s="86" t="s">
        <v>65</v>
      </c>
      <c r="E11" s="86" t="s">
        <v>66</v>
      </c>
      <c r="F11" s="86" t="s">
        <v>67</v>
      </c>
    </row>
    <row r="12" spans="1:9" x14ac:dyDescent="0.25">
      <c r="A12" s="66" t="s">
        <v>60</v>
      </c>
      <c r="B12" s="66">
        <v>1</v>
      </c>
      <c r="C12" s="66">
        <v>0.49978231363385484</v>
      </c>
      <c r="D12" s="66">
        <v>0.49978231363385484</v>
      </c>
      <c r="E12" s="66">
        <v>7.0121589813530996</v>
      </c>
      <c r="F12" s="66">
        <v>2.9344535569346956E-2</v>
      </c>
    </row>
    <row r="13" spans="1:9" x14ac:dyDescent="0.25">
      <c r="A13" s="66" t="s">
        <v>61</v>
      </c>
      <c r="B13" s="66">
        <v>8</v>
      </c>
      <c r="C13" s="66">
        <v>0.57018936959402988</v>
      </c>
      <c r="D13" s="66">
        <v>7.1273671199253735E-2</v>
      </c>
      <c r="E13" s="66"/>
      <c r="F13" s="66"/>
    </row>
    <row r="14" spans="1:9" ht="15.75" thickBot="1" x14ac:dyDescent="0.3">
      <c r="A14" s="67" t="s">
        <v>27</v>
      </c>
      <c r="B14" s="67">
        <v>9</v>
      </c>
      <c r="C14" s="67">
        <v>1.0699716832278847</v>
      </c>
      <c r="D14" s="67"/>
      <c r="E14" s="67"/>
      <c r="F14" s="67"/>
    </row>
    <row r="15" spans="1:9" ht="15.75" thickBot="1" x14ac:dyDescent="0.3"/>
    <row r="16" spans="1:9" x14ac:dyDescent="0.25">
      <c r="A16" s="86"/>
      <c r="B16" s="86" t="s">
        <v>68</v>
      </c>
      <c r="C16" s="86" t="s">
        <v>118</v>
      </c>
      <c r="D16" s="86" t="s">
        <v>119</v>
      </c>
      <c r="E16" s="86" t="s">
        <v>69</v>
      </c>
      <c r="F16" s="86" t="s">
        <v>70</v>
      </c>
      <c r="G16" s="86" t="s">
        <v>71</v>
      </c>
      <c r="H16" s="86" t="s">
        <v>135</v>
      </c>
      <c r="I16" s="86" t="s">
        <v>136</v>
      </c>
    </row>
    <row r="17" spans="1:9" x14ac:dyDescent="0.25">
      <c r="A17" s="66" t="s">
        <v>62</v>
      </c>
      <c r="B17" s="66">
        <v>-5.0476015161444572</v>
      </c>
      <c r="C17" s="66">
        <v>3.1788763452516648</v>
      </c>
      <c r="D17" s="66">
        <v>-1.5878571444542455</v>
      </c>
      <c r="E17" s="66">
        <v>0.15098089932054162</v>
      </c>
      <c r="F17" s="66">
        <v>-12.378103513597505</v>
      </c>
      <c r="G17" s="66">
        <v>2.2829004813085918</v>
      </c>
      <c r="H17" s="66">
        <v>-12.378103513597505</v>
      </c>
      <c r="I17" s="66">
        <v>2.2829004813085918</v>
      </c>
    </row>
    <row r="18" spans="1:9" ht="15.75" thickBot="1" x14ac:dyDescent="0.3">
      <c r="A18" s="67" t="s">
        <v>72</v>
      </c>
      <c r="B18" s="67">
        <v>1.9839649574708739E-4</v>
      </c>
      <c r="C18" s="67">
        <v>7.4921785722675545E-5</v>
      </c>
      <c r="D18" s="67">
        <v>2.648048145588199</v>
      </c>
      <c r="E18" s="67">
        <v>2.9344535569346956E-2</v>
      </c>
      <c r="F18" s="67">
        <v>2.5626548053717048E-5</v>
      </c>
      <c r="G18" s="67">
        <v>3.7116644344045772E-4</v>
      </c>
      <c r="H18" s="67">
        <v>2.5626548053717048E-5</v>
      </c>
      <c r="I18" s="67">
        <v>3.7116644344045772E-4</v>
      </c>
    </row>
    <row r="22" spans="1:9" x14ac:dyDescent="0.25">
      <c r="A22" t="s">
        <v>137</v>
      </c>
    </row>
    <row r="23" spans="1:9" ht="15.75" thickBot="1" x14ac:dyDescent="0.3"/>
    <row r="24" spans="1:9" x14ac:dyDescent="0.25">
      <c r="A24" s="86" t="s">
        <v>138</v>
      </c>
      <c r="B24" s="86" t="s">
        <v>73</v>
      </c>
      <c r="C24" s="86" t="s">
        <v>74</v>
      </c>
    </row>
    <row r="25" spans="1:9" x14ac:dyDescent="0.25">
      <c r="A25" s="66">
        <v>1</v>
      </c>
      <c r="B25" s="66">
        <v>2.9594826557122431</v>
      </c>
      <c r="C25" s="66">
        <v>0.26037668534531155</v>
      </c>
    </row>
    <row r="26" spans="1:9" x14ac:dyDescent="0.25">
      <c r="A26" s="66">
        <v>2</v>
      </c>
      <c r="B26" s="66">
        <v>3.1227629717120955</v>
      </c>
      <c r="C26" s="66">
        <v>8.5043816785197901E-2</v>
      </c>
    </row>
    <row r="27" spans="1:9" x14ac:dyDescent="0.25">
      <c r="A27" s="66">
        <v>3</v>
      </c>
      <c r="B27" s="66">
        <v>3.195177692659783</v>
      </c>
      <c r="C27" s="66">
        <v>-5.2073376701780916E-2</v>
      </c>
    </row>
    <row r="28" spans="1:9" x14ac:dyDescent="0.25">
      <c r="A28" s="66">
        <v>4</v>
      </c>
      <c r="B28" s="66">
        <v>3.2675924136074688</v>
      </c>
      <c r="C28" s="66">
        <v>-0.12951891818571726</v>
      </c>
    </row>
    <row r="29" spans="1:9" x14ac:dyDescent="0.25">
      <c r="A29" s="66">
        <v>5</v>
      </c>
      <c r="B29" s="66">
        <v>3.3400071345551563</v>
      </c>
      <c r="C29" s="66">
        <v>-9.8022031225158734E-2</v>
      </c>
    </row>
    <row r="30" spans="1:9" x14ac:dyDescent="0.25">
      <c r="A30" s="66">
        <v>6</v>
      </c>
      <c r="B30" s="66">
        <v>3.4126202519985895</v>
      </c>
      <c r="C30" s="66">
        <v>-0.16238918120805046</v>
      </c>
    </row>
    <row r="31" spans="1:9" x14ac:dyDescent="0.25">
      <c r="A31" s="66">
        <v>7</v>
      </c>
      <c r="B31" s="66">
        <v>3.4850349729462771</v>
      </c>
      <c r="C31" s="66">
        <v>-0.18652390802358054</v>
      </c>
    </row>
    <row r="32" spans="1:9" x14ac:dyDescent="0.25">
      <c r="A32" s="66">
        <v>8</v>
      </c>
      <c r="B32" s="66">
        <v>3.5574496938939646</v>
      </c>
      <c r="C32" s="66">
        <v>-0.19705694579165556</v>
      </c>
    </row>
    <row r="33" spans="1:3" x14ac:dyDescent="0.25">
      <c r="A33" s="66">
        <v>9</v>
      </c>
      <c r="B33" s="66">
        <v>3.6298644148416503</v>
      </c>
      <c r="C33" s="66">
        <v>-0.11403265304405785</v>
      </c>
    </row>
    <row r="34" spans="1:3" ht="15.75" thickBot="1" x14ac:dyDescent="0.3">
      <c r="A34" s="67">
        <v>10</v>
      </c>
      <c r="B34" s="67">
        <v>3.7024775322850854</v>
      </c>
      <c r="C34" s="67">
        <v>0.59419651204949098</v>
      </c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U43"/>
  <sheetViews>
    <sheetView showGridLines="0" topLeftCell="C1" zoomScaleNormal="100" workbookViewId="0">
      <selection activeCell="H15" sqref="H15"/>
    </sheetView>
  </sheetViews>
  <sheetFormatPr defaultColWidth="9.140625" defaultRowHeight="15" x14ac:dyDescent="0.25"/>
  <cols>
    <col min="1" max="1" width="2.5703125" style="2" customWidth="1"/>
    <col min="2" max="2" width="15.7109375" style="2" customWidth="1"/>
    <col min="3" max="3" width="12.7109375" style="2" customWidth="1"/>
    <col min="4" max="4" width="12.5703125" style="2" customWidth="1"/>
    <col min="5" max="6" width="12.7109375" style="2" customWidth="1"/>
    <col min="7" max="7" width="12.85546875" style="2" customWidth="1"/>
    <col min="8" max="8" width="11.28515625" style="2" customWidth="1"/>
    <col min="9" max="16384" width="9.140625" style="2"/>
  </cols>
  <sheetData>
    <row r="1" spans="2:21" x14ac:dyDescent="0.25">
      <c r="B1" s="1"/>
      <c r="C1" s="1"/>
      <c r="D1" s="1"/>
      <c r="E1" s="1"/>
      <c r="F1" s="1"/>
      <c r="G1" s="1"/>
      <c r="H1" s="1"/>
      <c r="I1" s="36"/>
      <c r="T1" s="36"/>
    </row>
    <row r="2" spans="2:21" x14ac:dyDescent="0.25">
      <c r="B2" s="1"/>
      <c r="C2" s="1"/>
      <c r="D2" s="1"/>
      <c r="E2" s="1"/>
      <c r="F2" s="1"/>
      <c r="G2" s="1"/>
      <c r="H2" s="1"/>
      <c r="J2" s="36" t="s">
        <v>48</v>
      </c>
      <c r="U2" s="36" t="s">
        <v>48</v>
      </c>
    </row>
    <row r="3" spans="2:21" x14ac:dyDescent="0.25">
      <c r="B3" s="1"/>
      <c r="C3" s="1"/>
      <c r="D3" s="1"/>
      <c r="E3" s="1"/>
      <c r="F3" s="1"/>
      <c r="G3" s="1"/>
      <c r="H3" s="1"/>
      <c r="J3" s="36" t="s">
        <v>150</v>
      </c>
      <c r="U3" s="36" t="s">
        <v>150</v>
      </c>
    </row>
    <row r="4" spans="2:21" x14ac:dyDescent="0.25">
      <c r="B4" s="125" t="s">
        <v>143</v>
      </c>
      <c r="C4" s="125"/>
      <c r="D4" s="125"/>
      <c r="E4" s="125"/>
      <c r="F4" s="125"/>
      <c r="G4" s="125"/>
      <c r="H4" s="125"/>
      <c r="J4" s="37" t="s">
        <v>75</v>
      </c>
      <c r="U4" s="37" t="s">
        <v>76</v>
      </c>
    </row>
    <row r="5" spans="2:21" x14ac:dyDescent="0.25">
      <c r="B5" s="1"/>
      <c r="C5" s="1"/>
      <c r="D5" s="1"/>
      <c r="E5" s="1"/>
      <c r="F5" s="1"/>
      <c r="G5" s="1"/>
      <c r="H5" s="1"/>
      <c r="I5" s="1"/>
    </row>
    <row r="6" spans="2:21" x14ac:dyDescent="0.25">
      <c r="B6" s="1"/>
      <c r="C6" s="1"/>
      <c r="D6" s="1"/>
      <c r="E6" s="1"/>
      <c r="F6" s="1"/>
      <c r="G6" s="1"/>
      <c r="H6" s="1"/>
      <c r="I6" s="1"/>
    </row>
    <row r="7" spans="2:21" x14ac:dyDescent="0.25">
      <c r="B7" s="1"/>
      <c r="C7" s="1"/>
      <c r="D7" s="36" t="s">
        <v>53</v>
      </c>
      <c r="E7" s="1"/>
      <c r="F7" s="1"/>
      <c r="G7" s="1"/>
      <c r="H7" s="1"/>
    </row>
    <row r="8" spans="2:21" x14ac:dyDescent="0.25">
      <c r="B8" s="1"/>
      <c r="C8" s="1"/>
      <c r="D8" s="36" t="s">
        <v>54</v>
      </c>
      <c r="E8" s="1"/>
      <c r="F8" s="1"/>
      <c r="G8" s="1"/>
      <c r="H8" s="1"/>
    </row>
    <row r="9" spans="2:21" x14ac:dyDescent="0.25">
      <c r="B9" s="36"/>
      <c r="C9" s="36" t="s">
        <v>50</v>
      </c>
      <c r="D9" s="36" t="s">
        <v>50</v>
      </c>
      <c r="E9" s="1"/>
      <c r="F9" s="1"/>
      <c r="G9" s="1"/>
      <c r="H9" s="36" t="s">
        <v>112</v>
      </c>
    </row>
    <row r="10" spans="2:21" x14ac:dyDescent="0.25">
      <c r="B10" s="38" t="s">
        <v>146</v>
      </c>
      <c r="C10" s="36" t="s">
        <v>51</v>
      </c>
      <c r="D10" s="36" t="s">
        <v>51</v>
      </c>
      <c r="E10" s="1"/>
      <c r="F10" s="1"/>
      <c r="G10" s="1"/>
      <c r="H10" s="36" t="s">
        <v>145</v>
      </c>
    </row>
    <row r="11" spans="2:21" x14ac:dyDescent="0.25">
      <c r="B11" s="39" t="s">
        <v>147</v>
      </c>
      <c r="C11" s="40" t="s">
        <v>52</v>
      </c>
      <c r="D11" s="40" t="s">
        <v>52</v>
      </c>
      <c r="E11" s="42" t="s">
        <v>73</v>
      </c>
      <c r="F11" s="42" t="s">
        <v>74</v>
      </c>
      <c r="G11" s="40" t="s">
        <v>144</v>
      </c>
      <c r="H11" s="40" t="s">
        <v>105</v>
      </c>
    </row>
    <row r="12" spans="2:21" x14ac:dyDescent="0.25">
      <c r="B12" s="43">
        <v>40359</v>
      </c>
      <c r="C12" s="44">
        <v>25.0246</v>
      </c>
      <c r="D12" s="101">
        <f>LN(C12)</f>
        <v>3.2198593410575547</v>
      </c>
      <c r="E12" s="45">
        <v>2.9594826557122431</v>
      </c>
      <c r="F12" s="45">
        <v>0.26037668534531155</v>
      </c>
      <c r="G12" s="45">
        <f t="shared" ref="G12:G19" si="0">EXP(E12)</f>
        <v>19.287990642108372</v>
      </c>
      <c r="H12" s="14">
        <v>7.5101118576166082E-2</v>
      </c>
    </row>
    <row r="13" spans="2:21" x14ac:dyDescent="0.25">
      <c r="B13" s="43">
        <v>41182</v>
      </c>
      <c r="C13" s="44">
        <v>24.724799999999998</v>
      </c>
      <c r="D13" s="101">
        <f t="shared" ref="D13:D21" si="1">LN(C13)</f>
        <v>3.2078067884972934</v>
      </c>
      <c r="E13" s="45">
        <v>3.1227629717120955</v>
      </c>
      <c r="F13" s="45">
        <v>8.5043816785197901E-2</v>
      </c>
      <c r="G13" s="45">
        <f t="shared" si="0"/>
        <v>22.709037470552275</v>
      </c>
      <c r="H13" s="14"/>
    </row>
    <row r="14" spans="2:21" x14ac:dyDescent="0.25">
      <c r="B14" s="43">
        <v>41547</v>
      </c>
      <c r="C14" s="47">
        <v>23.175699999999999</v>
      </c>
      <c r="D14" s="101">
        <f t="shared" si="1"/>
        <v>3.1431043159580021</v>
      </c>
      <c r="E14" s="45">
        <v>3.195177692659783</v>
      </c>
      <c r="F14" s="45">
        <v>-5.2073376701780916E-2</v>
      </c>
      <c r="G14" s="45">
        <f t="shared" si="0"/>
        <v>24.414511586378822</v>
      </c>
      <c r="H14" s="14"/>
    </row>
    <row r="15" spans="2:21" x14ac:dyDescent="0.25">
      <c r="B15" s="43">
        <v>41912</v>
      </c>
      <c r="C15" s="51">
        <v>23.0594</v>
      </c>
      <c r="D15" s="101">
        <f t="shared" si="1"/>
        <v>3.1380734954217515</v>
      </c>
      <c r="E15" s="45">
        <v>3.2675924136074688</v>
      </c>
      <c r="F15" s="45">
        <v>-0.12951891818571726</v>
      </c>
      <c r="G15" s="45">
        <f t="shared" si="0"/>
        <v>26.248068716006593</v>
      </c>
      <c r="H15" s="14"/>
    </row>
    <row r="16" spans="2:21" x14ac:dyDescent="0.25">
      <c r="B16" s="43">
        <v>42277</v>
      </c>
      <c r="C16" s="51">
        <v>25.584459166267578</v>
      </c>
      <c r="D16" s="101">
        <f t="shared" si="1"/>
        <v>3.2419851033299976</v>
      </c>
      <c r="E16" s="45">
        <v>3.3400071345551563</v>
      </c>
      <c r="F16" s="45">
        <v>-9.8022031225158734E-2</v>
      </c>
      <c r="G16" s="45">
        <f t="shared" si="0"/>
        <v>28.219328037042761</v>
      </c>
      <c r="H16" s="14"/>
    </row>
    <row r="17" spans="2:10" x14ac:dyDescent="0.25">
      <c r="B17" s="43">
        <v>42643</v>
      </c>
      <c r="C17" s="51">
        <v>25.796299999999999</v>
      </c>
      <c r="D17" s="101">
        <f t="shared" si="1"/>
        <v>3.2502310707905391</v>
      </c>
      <c r="E17" s="45">
        <v>3.4126202519985895</v>
      </c>
      <c r="F17" s="45">
        <v>-0.16238918120805046</v>
      </c>
      <c r="G17" s="45">
        <f t="shared" si="0"/>
        <v>30.344650813317447</v>
      </c>
      <c r="H17" s="14"/>
    </row>
    <row r="18" spans="2:10" x14ac:dyDescent="0.25">
      <c r="B18" s="43">
        <v>43008</v>
      </c>
      <c r="C18" s="51">
        <v>27.072299999999998</v>
      </c>
      <c r="D18" s="101">
        <f t="shared" si="1"/>
        <v>3.2985110649226965</v>
      </c>
      <c r="E18" s="45">
        <v>3.4850349729462771</v>
      </c>
      <c r="F18" s="45">
        <v>-0.18652390802358054</v>
      </c>
      <c r="G18" s="45">
        <f t="shared" si="0"/>
        <v>32.623568032200758</v>
      </c>
      <c r="H18" s="14"/>
    </row>
    <row r="19" spans="2:10" x14ac:dyDescent="0.25">
      <c r="B19" s="43">
        <v>43373</v>
      </c>
      <c r="C19" s="51">
        <v>28.8005</v>
      </c>
      <c r="D19" s="101">
        <f t="shared" si="1"/>
        <v>3.360392748102309</v>
      </c>
      <c r="E19" s="45">
        <v>3.5574496938939646</v>
      </c>
      <c r="F19" s="45">
        <v>-0.19705694579165556</v>
      </c>
      <c r="G19" s="45">
        <f t="shared" si="0"/>
        <v>35.073634483364692</v>
      </c>
      <c r="H19" s="14"/>
    </row>
    <row r="20" spans="2:10" x14ac:dyDescent="0.25">
      <c r="B20" s="43">
        <v>43738</v>
      </c>
      <c r="C20" s="51">
        <v>33.643900000000002</v>
      </c>
      <c r="D20" s="101">
        <f t="shared" si="1"/>
        <v>3.5158317617975925</v>
      </c>
      <c r="E20" s="45">
        <v>3.6298644148416503</v>
      </c>
      <c r="F20" s="45">
        <v>-0.11403265304405785</v>
      </c>
      <c r="G20" s="45">
        <f>EXP(E20)</f>
        <v>37.707703665596902</v>
      </c>
      <c r="H20" s="14"/>
    </row>
    <row r="21" spans="2:10" ht="15.75" thickBot="1" x14ac:dyDescent="0.3">
      <c r="B21" s="43">
        <v>44104</v>
      </c>
      <c r="C21" s="103">
        <f>'Appendix J SEA 2020'!F27-'Appendix J 2 SEA 2020'!D27</f>
        <v>73.45507863451472</v>
      </c>
      <c r="D21" s="102">
        <f t="shared" si="1"/>
        <v>4.2966740443345763</v>
      </c>
      <c r="E21" s="104">
        <v>3.7024775322850854</v>
      </c>
      <c r="F21" s="104">
        <v>0.59419651204949098</v>
      </c>
      <c r="G21" s="104">
        <f>EXP(E21)</f>
        <v>40.547638101183487</v>
      </c>
      <c r="H21" s="14"/>
    </row>
    <row r="22" spans="2:10" x14ac:dyDescent="0.25">
      <c r="B22" s="1"/>
      <c r="C22" s="1"/>
      <c r="D22" s="1"/>
      <c r="E22" s="1"/>
      <c r="F22" s="1"/>
      <c r="G22" s="1"/>
      <c r="H22" s="1"/>
      <c r="I22" s="1"/>
    </row>
    <row r="23" spans="2:10" x14ac:dyDescent="0.25">
      <c r="B23" s="1"/>
      <c r="C23" s="1"/>
      <c r="D23" s="1"/>
      <c r="E23" s="1"/>
      <c r="F23" s="1"/>
      <c r="G23" s="1"/>
      <c r="H23" s="1"/>
      <c r="I23" s="1"/>
    </row>
    <row r="24" spans="2:10" x14ac:dyDescent="0.25">
      <c r="B24" s="1" t="s">
        <v>59</v>
      </c>
      <c r="C24" s="1"/>
      <c r="D24" s="1"/>
      <c r="E24" s="1"/>
      <c r="F24" s="1"/>
      <c r="G24" s="1"/>
      <c r="H24" s="1"/>
      <c r="I24" s="1"/>
      <c r="J24" s="1"/>
    </row>
    <row r="25" spans="2:10" x14ac:dyDescent="0.25">
      <c r="B25" s="48"/>
      <c r="C25" s="42" t="s">
        <v>63</v>
      </c>
      <c r="D25" s="42" t="s">
        <v>64</v>
      </c>
      <c r="E25" s="42" t="s">
        <v>65</v>
      </c>
      <c r="F25" s="42" t="s">
        <v>66</v>
      </c>
      <c r="G25" s="42" t="s">
        <v>67</v>
      </c>
      <c r="H25" s="1"/>
      <c r="I25" s="1"/>
      <c r="J25" s="1"/>
    </row>
    <row r="26" spans="2:10" x14ac:dyDescent="0.25">
      <c r="B26" s="45" t="s">
        <v>60</v>
      </c>
      <c r="C26" s="45">
        <v>1</v>
      </c>
      <c r="D26" s="45">
        <v>0.49978231363385484</v>
      </c>
      <c r="E26" s="45">
        <v>0.49978231363385484</v>
      </c>
      <c r="F26" s="45">
        <v>7.0121589813530996</v>
      </c>
      <c r="G26" s="45">
        <v>2.9344535569346956E-2</v>
      </c>
      <c r="H26" s="1"/>
      <c r="I26" s="1"/>
      <c r="J26" s="1"/>
    </row>
    <row r="27" spans="2:10" x14ac:dyDescent="0.25">
      <c r="B27" s="45" t="s">
        <v>61</v>
      </c>
      <c r="C27" s="45">
        <v>8</v>
      </c>
      <c r="D27" s="45">
        <v>0.57018936959402988</v>
      </c>
      <c r="E27" s="45">
        <v>7.1273671199253735E-2</v>
      </c>
      <c r="F27" s="45"/>
      <c r="G27" s="45"/>
      <c r="H27" s="1"/>
      <c r="I27" s="41"/>
      <c r="J27" s="1"/>
    </row>
    <row r="28" spans="2:10" ht="15.75" thickBot="1" x14ac:dyDescent="0.3">
      <c r="B28" s="104" t="s">
        <v>27</v>
      </c>
      <c r="C28" s="104">
        <v>9</v>
      </c>
      <c r="D28" s="104">
        <v>1.0699716832278847</v>
      </c>
      <c r="E28" s="104"/>
      <c r="F28" s="104"/>
      <c r="G28" s="104"/>
      <c r="H28" s="1"/>
      <c r="I28" s="45"/>
      <c r="J28" s="1"/>
    </row>
    <row r="29" spans="2:10" x14ac:dyDescent="0.25">
      <c r="B29" s="1"/>
      <c r="C29" s="1"/>
      <c r="D29" s="1"/>
      <c r="E29" s="1"/>
      <c r="F29" s="1"/>
      <c r="G29" s="1"/>
      <c r="H29" s="1"/>
      <c r="I29" s="45"/>
      <c r="J29" s="1"/>
    </row>
    <row r="30" spans="2:10" x14ac:dyDescent="0.25">
      <c r="B30" s="48"/>
      <c r="C30" s="42" t="s">
        <v>68</v>
      </c>
      <c r="D30" s="42" t="s">
        <v>120</v>
      </c>
      <c r="E30" s="42" t="s">
        <v>119</v>
      </c>
      <c r="F30" s="42" t="s">
        <v>69</v>
      </c>
      <c r="G30" s="42" t="s">
        <v>70</v>
      </c>
      <c r="H30" s="42" t="s">
        <v>71</v>
      </c>
      <c r="I30" s="1"/>
      <c r="J30" s="1"/>
    </row>
    <row r="31" spans="2:10" x14ac:dyDescent="0.25">
      <c r="B31" s="45" t="s">
        <v>62</v>
      </c>
      <c r="C31" s="45">
        <v>-5.0476015161444572</v>
      </c>
      <c r="D31" s="45">
        <v>3.1788763452516648</v>
      </c>
      <c r="E31" s="45">
        <v>-1.5878571444542455</v>
      </c>
      <c r="F31" s="45">
        <v>0.15098089932054162</v>
      </c>
      <c r="G31" s="45">
        <v>-12.378103513597505</v>
      </c>
      <c r="H31" s="45">
        <v>2.2829004813085918</v>
      </c>
      <c r="I31" s="1"/>
      <c r="J31" s="1"/>
    </row>
    <row r="32" spans="2:10" ht="15.75" thickBot="1" x14ac:dyDescent="0.3">
      <c r="B32" s="104" t="s">
        <v>72</v>
      </c>
      <c r="C32" s="104">
        <v>1.9839649574708739E-4</v>
      </c>
      <c r="D32" s="104">
        <v>7.4921785722675545E-5</v>
      </c>
      <c r="E32" s="104">
        <v>2.648048145588199</v>
      </c>
      <c r="F32" s="104">
        <v>2.9344535569346956E-2</v>
      </c>
      <c r="G32" s="104">
        <v>2.5626548053717048E-5</v>
      </c>
      <c r="H32" s="104">
        <v>3.7116644344045772E-4</v>
      </c>
      <c r="I32" s="1"/>
      <c r="J32" s="1"/>
    </row>
    <row r="33" spans="2:10" x14ac:dyDescent="0.25">
      <c r="B33" s="49"/>
      <c r="C33" s="50"/>
      <c r="D33" s="50"/>
      <c r="E33" s="1"/>
      <c r="F33" s="1"/>
      <c r="G33" s="1"/>
      <c r="H33" s="1"/>
      <c r="I33" s="1"/>
      <c r="J33" s="1"/>
    </row>
    <row r="34" spans="2:10" x14ac:dyDescent="0.25">
      <c r="B34" s="1"/>
      <c r="C34" s="1"/>
      <c r="D34" s="1"/>
      <c r="E34" s="1"/>
      <c r="F34" s="1"/>
      <c r="G34" s="1"/>
      <c r="H34" s="1"/>
      <c r="I34" s="1"/>
      <c r="J34" s="1"/>
    </row>
    <row r="35" spans="2:10" x14ac:dyDescent="0.25">
      <c r="B35" s="2" t="s">
        <v>137</v>
      </c>
      <c r="D35" s="1"/>
      <c r="E35" s="1"/>
      <c r="F35" s="1"/>
      <c r="G35" s="1"/>
      <c r="H35" s="1"/>
      <c r="I35" s="1"/>
      <c r="J35" s="1"/>
    </row>
    <row r="36" spans="2:10" ht="15.75" thickBot="1" x14ac:dyDescent="0.3">
      <c r="B36" s="1"/>
      <c r="C36" s="1"/>
      <c r="D36" s="1"/>
      <c r="E36" s="1"/>
      <c r="F36" s="1"/>
      <c r="G36" s="1"/>
      <c r="H36" s="1"/>
      <c r="I36" s="1"/>
      <c r="J36" s="1"/>
    </row>
    <row r="37" spans="2:10" x14ac:dyDescent="0.25">
      <c r="B37" s="105" t="s">
        <v>55</v>
      </c>
      <c r="C37" s="105"/>
      <c r="D37" s="1"/>
      <c r="E37" s="1"/>
      <c r="F37" s="1"/>
      <c r="G37" s="1"/>
      <c r="H37" s="45"/>
      <c r="I37" s="1"/>
      <c r="J37" s="1"/>
    </row>
    <row r="38" spans="2:10" x14ac:dyDescent="0.25">
      <c r="B38" s="45" t="s">
        <v>56</v>
      </c>
      <c r="C38" s="45">
        <v>0.68344614700061246</v>
      </c>
      <c r="D38" s="1"/>
      <c r="E38" s="1"/>
      <c r="F38" s="1"/>
      <c r="G38" s="1"/>
      <c r="H38" s="45"/>
      <c r="I38" s="1"/>
      <c r="J38" s="1"/>
    </row>
    <row r="39" spans="2:10" x14ac:dyDescent="0.25">
      <c r="B39" s="45" t="s">
        <v>57</v>
      </c>
      <c r="C39" s="45">
        <v>0.46709863584998279</v>
      </c>
      <c r="D39" s="1"/>
      <c r="E39" s="1"/>
      <c r="F39" s="1"/>
      <c r="G39" s="1"/>
      <c r="H39" s="45"/>
      <c r="I39" s="1"/>
      <c r="J39" s="1"/>
    </row>
    <row r="40" spans="2:10" x14ac:dyDescent="0.25">
      <c r="B40" s="45" t="s">
        <v>117</v>
      </c>
      <c r="C40" s="45">
        <v>0.4004859653312306</v>
      </c>
      <c r="D40" s="1"/>
      <c r="E40" s="1"/>
      <c r="F40" s="1"/>
      <c r="G40" s="1"/>
      <c r="H40" s="45"/>
      <c r="I40" s="1"/>
      <c r="J40" s="1"/>
    </row>
    <row r="41" spans="2:10" x14ac:dyDescent="0.25">
      <c r="B41" s="45" t="s">
        <v>118</v>
      </c>
      <c r="C41" s="45">
        <v>0.26697129283736432</v>
      </c>
      <c r="D41" s="1"/>
      <c r="E41" s="1"/>
      <c r="F41" s="1"/>
      <c r="G41" s="1"/>
      <c r="H41" s="45"/>
      <c r="I41" s="1"/>
      <c r="J41" s="1"/>
    </row>
    <row r="42" spans="2:10" ht="15.75" thickBot="1" x14ac:dyDescent="0.3">
      <c r="B42" s="104" t="s">
        <v>58</v>
      </c>
      <c r="C42" s="104">
        <v>10</v>
      </c>
      <c r="G42" s="1"/>
      <c r="H42" s="1"/>
      <c r="I42" s="1"/>
    </row>
    <row r="43" spans="2:10" x14ac:dyDescent="0.25">
      <c r="B43" s="1"/>
      <c r="G43" s="1"/>
      <c r="H43" s="1"/>
      <c r="I43" s="1"/>
    </row>
  </sheetData>
  <mergeCells count="1">
    <mergeCell ref="B4:H4"/>
  </mergeCells>
  <pageMargins left="0.2" right="0.2" top="0.75" bottom="0.75" header="0.3" footer="0.3"/>
  <pageSetup orientation="portrait" verticalDpi="598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87"/>
  <sheetViews>
    <sheetView showGridLines="0" topLeftCell="A7" zoomScale="85" zoomScaleNormal="85" workbookViewId="0">
      <selection activeCell="L19" sqref="L19:M19"/>
    </sheetView>
  </sheetViews>
  <sheetFormatPr defaultColWidth="9.140625" defaultRowHeight="11.25" outlineLevelRow="1" x14ac:dyDescent="0.2"/>
  <cols>
    <col min="1" max="1" width="2.7109375" style="23" bestFit="1" customWidth="1"/>
    <col min="2" max="2" width="1.5703125" style="23" bestFit="1" customWidth="1"/>
    <col min="3" max="3" width="31.140625" style="23" bestFit="1" customWidth="1"/>
    <col min="4" max="4" width="2.5703125" style="23" customWidth="1"/>
    <col min="5" max="5" width="3.85546875" style="23" customWidth="1"/>
    <col min="6" max="6" width="10" style="24" bestFit="1" customWidth="1"/>
    <col min="7" max="8" width="9.140625" style="21" customWidth="1"/>
    <col min="9" max="10" width="8.7109375" style="21" bestFit="1" customWidth="1"/>
    <col min="11" max="11" width="8.7109375" style="21" customWidth="1"/>
    <col min="12" max="13" width="8.7109375" style="23" bestFit="1" customWidth="1"/>
    <col min="14" max="16384" width="9.140625" style="23"/>
  </cols>
  <sheetData>
    <row r="1" spans="1:24" x14ac:dyDescent="0.2">
      <c r="A1" s="23" t="s">
        <v>171</v>
      </c>
      <c r="M1" s="25"/>
    </row>
    <row r="2" spans="1:24" x14ac:dyDescent="0.2">
      <c r="M2" s="25" t="s">
        <v>48</v>
      </c>
    </row>
    <row r="3" spans="1:24" x14ac:dyDescent="0.2">
      <c r="M3" s="25" t="s">
        <v>151</v>
      </c>
    </row>
    <row r="4" spans="1:24" x14ac:dyDescent="0.2">
      <c r="M4" s="25" t="s">
        <v>75</v>
      </c>
    </row>
    <row r="5" spans="1:24" ht="10.15" customHeight="1" x14ac:dyDescent="0.2">
      <c r="G5" s="126" t="s">
        <v>164</v>
      </c>
      <c r="H5" s="126"/>
      <c r="I5" s="126"/>
      <c r="J5" s="126"/>
      <c r="K5" s="126"/>
      <c r="L5" s="126"/>
      <c r="M5" s="126"/>
    </row>
    <row r="7" spans="1:24" ht="12.75" x14ac:dyDescent="0.2">
      <c r="A7" s="119"/>
      <c r="B7" s="119"/>
      <c r="C7" s="120" t="s">
        <v>26</v>
      </c>
      <c r="D7" s="119"/>
      <c r="E7" s="119"/>
      <c r="F7" s="27" t="s">
        <v>27</v>
      </c>
      <c r="G7" s="25" t="s">
        <v>43</v>
      </c>
      <c r="H7" s="25" t="s">
        <v>43</v>
      </c>
      <c r="I7" s="25" t="s">
        <v>43</v>
      </c>
      <c r="J7" s="25" t="s">
        <v>130</v>
      </c>
      <c r="K7" s="25" t="s">
        <v>45</v>
      </c>
      <c r="L7" s="25" t="s">
        <v>110</v>
      </c>
      <c r="M7" s="25" t="s">
        <v>110</v>
      </c>
    </row>
    <row r="8" spans="1:24" ht="12.75" outlineLevel="1" x14ac:dyDescent="0.2">
      <c r="A8" s="119">
        <v>1</v>
      </c>
      <c r="B8" s="119" t="s">
        <v>25</v>
      </c>
      <c r="C8" s="119" t="s">
        <v>0</v>
      </c>
      <c r="D8" s="119"/>
      <c r="E8" s="119"/>
      <c r="F8" s="25">
        <f>SUM(G8:M8)</f>
        <v>8217676</v>
      </c>
      <c r="G8" s="81">
        <v>1919439</v>
      </c>
      <c r="H8" s="81">
        <v>1919439</v>
      </c>
      <c r="I8" s="81">
        <v>1919439</v>
      </c>
      <c r="J8" s="100">
        <v>1156700</v>
      </c>
      <c r="K8" s="81">
        <v>383229</v>
      </c>
      <c r="L8" s="81">
        <v>459715</v>
      </c>
      <c r="M8" s="81">
        <v>459715</v>
      </c>
    </row>
    <row r="9" spans="1:24" ht="12.75" outlineLevel="1" x14ac:dyDescent="0.2">
      <c r="A9" s="119">
        <v>2</v>
      </c>
      <c r="B9" s="119" t="s">
        <v>25</v>
      </c>
      <c r="C9" s="119" t="s">
        <v>1</v>
      </c>
      <c r="D9" s="119"/>
      <c r="E9" s="119"/>
      <c r="F9" s="25">
        <f>SUM(G9:M9)</f>
        <v>32414708</v>
      </c>
      <c r="G9" s="81">
        <v>5795858</v>
      </c>
      <c r="H9" s="81">
        <v>5795858</v>
      </c>
      <c r="I9" s="81">
        <v>5795858</v>
      </c>
      <c r="J9" s="81">
        <v>4146447</v>
      </c>
      <c r="K9" s="81">
        <v>3478391</v>
      </c>
      <c r="L9" s="81">
        <v>3701148</v>
      </c>
      <c r="M9" s="81">
        <v>3701148</v>
      </c>
    </row>
    <row r="10" spans="1:24" ht="12.75" outlineLevel="1" x14ac:dyDescent="0.2">
      <c r="A10" s="119">
        <v>3</v>
      </c>
      <c r="B10" s="119" t="s">
        <v>25</v>
      </c>
      <c r="C10" s="119" t="s">
        <v>2</v>
      </c>
      <c r="D10" s="119"/>
      <c r="E10" s="119"/>
      <c r="F10" s="25">
        <f>SUM(G10:M10)</f>
        <v>14370232</v>
      </c>
      <c r="G10" s="81">
        <v>3430029</v>
      </c>
      <c r="H10" s="81">
        <v>3430029</v>
      </c>
      <c r="I10" s="81">
        <v>3430029</v>
      </c>
      <c r="J10" s="81">
        <v>1041459</v>
      </c>
      <c r="K10" s="81">
        <v>957428</v>
      </c>
      <c r="L10" s="81">
        <v>1040629</v>
      </c>
      <c r="M10" s="81">
        <v>1040629</v>
      </c>
    </row>
    <row r="11" spans="1:24" s="22" customFormat="1" ht="12.75" outlineLevel="1" x14ac:dyDescent="0.2">
      <c r="A11" s="121">
        <v>4</v>
      </c>
      <c r="B11" s="64" t="s">
        <v>25</v>
      </c>
      <c r="C11" s="64" t="s">
        <v>3</v>
      </c>
      <c r="D11" s="64"/>
      <c r="E11" s="64"/>
      <c r="F11" s="30"/>
      <c r="G11" s="22">
        <f t="shared" ref="G11:M11" si="0">G8/((G9+G10)-G8)</f>
        <v>0.26270480539928565</v>
      </c>
      <c r="H11" s="22">
        <f t="shared" si="0"/>
        <v>0.26270480539928565</v>
      </c>
      <c r="I11" s="22">
        <f t="shared" si="0"/>
        <v>0.26270480539928565</v>
      </c>
      <c r="J11" s="22">
        <f t="shared" si="0"/>
        <v>0.28693646516699967</v>
      </c>
      <c r="K11" s="22">
        <f t="shared" si="0"/>
        <v>9.4563970201772193E-2</v>
      </c>
      <c r="L11" s="22">
        <f t="shared" si="0"/>
        <v>0.10735832409712891</v>
      </c>
      <c r="M11" s="22">
        <f t="shared" si="0"/>
        <v>0.10735832409712891</v>
      </c>
    </row>
    <row r="12" spans="1:24" s="22" customFormat="1" ht="15" outlineLevel="1" x14ac:dyDescent="0.25">
      <c r="A12" s="121">
        <v>5</v>
      </c>
      <c r="B12" s="64" t="s">
        <v>25</v>
      </c>
      <c r="C12" s="64" t="s">
        <v>28</v>
      </c>
      <c r="D12" s="64"/>
      <c r="E12" s="64"/>
      <c r="F12" s="30"/>
      <c r="G12" s="22">
        <v>9.4600000000000004E-2</v>
      </c>
      <c r="H12" s="22">
        <v>9.4600000000000004E-2</v>
      </c>
      <c r="I12" s="22">
        <v>9.4600000000000004E-2</v>
      </c>
      <c r="J12" s="22">
        <v>9.4600000000000004E-2</v>
      </c>
      <c r="K12" s="22">
        <v>9.4600000000000004E-2</v>
      </c>
      <c r="L12" s="22">
        <v>9.4600000000000004E-2</v>
      </c>
      <c r="M12" s="22">
        <v>9.4600000000000004E-2</v>
      </c>
      <c r="P12" s="16"/>
      <c r="Q12" s="16"/>
      <c r="R12" s="16"/>
      <c r="S12" s="16"/>
      <c r="T12" s="16"/>
      <c r="U12" s="16"/>
      <c r="V12" s="16"/>
      <c r="W12" s="16"/>
      <c r="X12" s="16"/>
    </row>
    <row r="13" spans="1:24" s="19" customFormat="1" ht="12.75" outlineLevel="1" x14ac:dyDescent="0.2">
      <c r="A13" s="122">
        <v>6</v>
      </c>
      <c r="B13" s="122" t="s">
        <v>25</v>
      </c>
      <c r="C13" s="122" t="s">
        <v>29</v>
      </c>
      <c r="D13" s="122"/>
      <c r="E13" s="122"/>
      <c r="F13" s="31">
        <f>SUM(G13:M13)</f>
        <v>209511</v>
      </c>
      <c r="G13" s="82">
        <v>47917</v>
      </c>
      <c r="H13" s="82">
        <v>47917</v>
      </c>
      <c r="I13" s="82">
        <v>47917</v>
      </c>
      <c r="J13" s="82">
        <v>19082</v>
      </c>
      <c r="K13" s="82">
        <v>5872</v>
      </c>
      <c r="L13" s="82">
        <v>20403</v>
      </c>
      <c r="M13" s="82">
        <v>20403</v>
      </c>
    </row>
    <row r="14" spans="1:24" s="19" customFormat="1" ht="12.75" outlineLevel="1" x14ac:dyDescent="0.2">
      <c r="A14" s="122">
        <v>7</v>
      </c>
      <c r="B14" s="122" t="s">
        <v>25</v>
      </c>
      <c r="C14" s="122" t="s">
        <v>30</v>
      </c>
      <c r="D14" s="122"/>
      <c r="E14" s="122"/>
      <c r="F14" s="31">
        <f>SUM(G14:M14)</f>
        <v>202569</v>
      </c>
      <c r="G14" s="82">
        <v>46320</v>
      </c>
      <c r="H14" s="82">
        <v>46320</v>
      </c>
      <c r="I14" s="82">
        <v>46320</v>
      </c>
      <c r="J14" s="82">
        <v>19082</v>
      </c>
      <c r="K14" s="82">
        <v>5797</v>
      </c>
      <c r="L14" s="82">
        <v>19365</v>
      </c>
      <c r="M14" s="82">
        <v>19365</v>
      </c>
    </row>
    <row r="15" spans="1:24" ht="12.75" outlineLevel="1" x14ac:dyDescent="0.2">
      <c r="A15" s="119">
        <v>8</v>
      </c>
      <c r="B15" s="119" t="s">
        <v>25</v>
      </c>
      <c r="C15" s="119" t="s">
        <v>172</v>
      </c>
      <c r="D15" s="119"/>
      <c r="E15" s="119"/>
      <c r="G15" s="22">
        <f t="shared" ref="G15:M15" si="1">G13/G14-1</f>
        <v>3.4477547495682215E-2</v>
      </c>
      <c r="H15" s="22">
        <f t="shared" si="1"/>
        <v>3.4477547495682215E-2</v>
      </c>
      <c r="I15" s="22">
        <f t="shared" si="1"/>
        <v>3.4477547495682215E-2</v>
      </c>
      <c r="J15" s="22">
        <f t="shared" si="1"/>
        <v>0</v>
      </c>
      <c r="K15" s="22">
        <f t="shared" si="1"/>
        <v>1.293772641021218E-2</v>
      </c>
      <c r="L15" s="22">
        <f t="shared" si="1"/>
        <v>5.3601859024012377E-2</v>
      </c>
      <c r="M15" s="22">
        <f t="shared" si="1"/>
        <v>5.3601859024012377E-2</v>
      </c>
    </row>
    <row r="16" spans="1:24" ht="12.75" x14ac:dyDescent="0.2">
      <c r="A16" s="119"/>
      <c r="B16" s="119"/>
      <c r="C16" s="119"/>
      <c r="D16" s="119"/>
      <c r="E16" s="119"/>
      <c r="L16" s="21"/>
      <c r="M16" s="21"/>
    </row>
    <row r="17" spans="1:21" ht="12.75" x14ac:dyDescent="0.2">
      <c r="A17" s="119"/>
      <c r="B17" s="119"/>
      <c r="C17" s="119" t="s">
        <v>4</v>
      </c>
      <c r="D17" s="119"/>
      <c r="E17" s="119"/>
      <c r="G17" s="25" t="s">
        <v>133</v>
      </c>
      <c r="H17" s="25" t="s">
        <v>47</v>
      </c>
      <c r="I17" s="25" t="s">
        <v>124</v>
      </c>
      <c r="J17" s="25" t="s">
        <v>131</v>
      </c>
      <c r="K17" s="25" t="s">
        <v>47</v>
      </c>
      <c r="L17" s="25" t="s">
        <v>47</v>
      </c>
      <c r="M17" s="25" t="s">
        <v>132</v>
      </c>
    </row>
    <row r="18" spans="1:21" s="19" customFormat="1" ht="15" x14ac:dyDescent="0.25">
      <c r="A18" s="122"/>
      <c r="B18" s="122"/>
      <c r="C18" s="123" t="s">
        <v>8</v>
      </c>
      <c r="D18" s="122"/>
      <c r="E18" s="122"/>
      <c r="F18" s="32"/>
      <c r="G18" s="20">
        <v>35</v>
      </c>
      <c r="H18" s="20">
        <v>40</v>
      </c>
      <c r="I18" s="20">
        <v>416</v>
      </c>
      <c r="J18" s="20">
        <v>415</v>
      </c>
      <c r="K18" s="20">
        <v>40</v>
      </c>
      <c r="L18" s="20">
        <v>40</v>
      </c>
      <c r="M18" s="20">
        <v>42</v>
      </c>
      <c r="N18" s="16"/>
      <c r="O18" s="16"/>
      <c r="P18" s="16"/>
      <c r="Q18" s="16"/>
      <c r="R18" s="16"/>
      <c r="S18" s="16"/>
      <c r="T18" s="16"/>
      <c r="U18" s="16"/>
    </row>
    <row r="19" spans="1:21" ht="12.75" outlineLevel="1" x14ac:dyDescent="0.2">
      <c r="A19" s="119">
        <v>9</v>
      </c>
      <c r="B19" s="119" t="s">
        <v>25</v>
      </c>
      <c r="C19" s="119" t="s">
        <v>1</v>
      </c>
      <c r="D19" s="119"/>
      <c r="E19" s="119"/>
      <c r="F19" s="25">
        <f>SUM(G19:M19)</f>
        <v>6933311</v>
      </c>
      <c r="G19" s="81">
        <v>387142</v>
      </c>
      <c r="H19" s="81">
        <v>649873</v>
      </c>
      <c r="I19" s="81">
        <v>644768</v>
      </c>
      <c r="J19" s="81">
        <v>436070</v>
      </c>
      <c r="K19" s="81">
        <v>1114310</v>
      </c>
      <c r="L19" s="81">
        <v>2461553</v>
      </c>
      <c r="M19" s="81">
        <v>1239595</v>
      </c>
    </row>
    <row r="20" spans="1:21" s="26" customFormat="1" ht="12.75" outlineLevel="1" x14ac:dyDescent="0.2">
      <c r="A20" s="119">
        <v>10</v>
      </c>
      <c r="B20" s="119" t="s">
        <v>25</v>
      </c>
      <c r="C20" s="120" t="s">
        <v>5</v>
      </c>
      <c r="D20" s="120"/>
      <c r="E20" s="120"/>
      <c r="F20" s="25">
        <f>SUM(G20:M20)</f>
        <v>330193</v>
      </c>
      <c r="G20" s="83">
        <v>28897</v>
      </c>
      <c r="H20" s="83">
        <v>42731</v>
      </c>
      <c r="I20" s="83">
        <v>43573</v>
      </c>
      <c r="J20" s="83">
        <v>11191</v>
      </c>
      <c r="K20" s="83">
        <v>25116</v>
      </c>
      <c r="L20" s="83">
        <v>100684</v>
      </c>
      <c r="M20" s="83">
        <v>78001</v>
      </c>
    </row>
    <row r="21" spans="1:21" ht="12.75" outlineLevel="1" x14ac:dyDescent="0.2">
      <c r="A21" s="119">
        <v>11</v>
      </c>
      <c r="B21" s="119" t="s">
        <v>25</v>
      </c>
      <c r="C21" s="119" t="s">
        <v>6</v>
      </c>
      <c r="D21" s="119"/>
      <c r="E21" s="119"/>
      <c r="F21" s="25">
        <f>SUM(G21:M21)</f>
        <v>6603118</v>
      </c>
      <c r="G21" s="21">
        <f>G19-G20</f>
        <v>358245</v>
      </c>
      <c r="H21" s="21">
        <f>H19-H20</f>
        <v>607142</v>
      </c>
      <c r="I21" s="21">
        <f t="shared" ref="I21:M21" si="2">I19-I20</f>
        <v>601195</v>
      </c>
      <c r="J21" s="21">
        <f t="shared" si="2"/>
        <v>424879</v>
      </c>
      <c r="K21" s="21">
        <f>K19-K20</f>
        <v>1089194</v>
      </c>
      <c r="L21" s="21">
        <f t="shared" si="2"/>
        <v>2360869</v>
      </c>
      <c r="M21" s="21">
        <f t="shared" si="2"/>
        <v>1161594</v>
      </c>
    </row>
    <row r="22" spans="1:21" ht="12.75" outlineLevel="1" x14ac:dyDescent="0.2">
      <c r="A22" s="119">
        <v>12</v>
      </c>
      <c r="B22" s="119" t="s">
        <v>25</v>
      </c>
      <c r="C22" s="119" t="s">
        <v>176</v>
      </c>
      <c r="D22" s="119"/>
      <c r="E22" s="119"/>
      <c r="F22" s="28"/>
      <c r="G22" s="28">
        <f>G21/G30</f>
        <v>627.69244613767341</v>
      </c>
      <c r="H22" s="28">
        <f>H21/H30</f>
        <v>666.12759888090409</v>
      </c>
      <c r="I22" s="28">
        <f t="shared" ref="I22:M22" si="3">I21/I30</f>
        <v>693.17998385794976</v>
      </c>
      <c r="J22" s="28">
        <f t="shared" si="3"/>
        <v>2035.8360308655474</v>
      </c>
      <c r="K22" s="28">
        <f>K21/K30</f>
        <v>865.57315058036761</v>
      </c>
      <c r="L22" s="28">
        <f t="shared" si="3"/>
        <v>1191.5657076665082</v>
      </c>
      <c r="M22" s="28">
        <f t="shared" si="3"/>
        <v>2728.6676915197054</v>
      </c>
    </row>
    <row r="23" spans="1:21" ht="12.75" outlineLevel="1" x14ac:dyDescent="0.2">
      <c r="A23" s="119">
        <v>13</v>
      </c>
      <c r="B23" s="119" t="s">
        <v>25</v>
      </c>
      <c r="C23" s="119" t="s">
        <v>173</v>
      </c>
      <c r="D23" s="119"/>
      <c r="E23" s="119"/>
      <c r="F23" s="21"/>
      <c r="G23" s="21">
        <f>G21*(1+G11)*(1+G12)*(1+G15)</f>
        <v>512222.30228325847</v>
      </c>
      <c r="H23" s="21">
        <f>H21*(1+H11)*(1+H12)*(1+H15)</f>
        <v>868097.73493799521</v>
      </c>
      <c r="I23" s="21">
        <f t="shared" ref="I23:M23" si="4">I21*(1+I11)*(1+I12)*(1+I15)</f>
        <v>859594.65455535613</v>
      </c>
      <c r="J23" s="21">
        <f t="shared" si="4"/>
        <v>598518.82791878679</v>
      </c>
      <c r="K23" s="21">
        <f>K21*(1+K11)*(1+K12)*(1+K15)</f>
        <v>1321857.3158609613</v>
      </c>
      <c r="L23" s="21">
        <f t="shared" si="4"/>
        <v>3015032.7663895222</v>
      </c>
      <c r="M23" s="21">
        <f t="shared" si="4"/>
        <v>1483455.4442628843</v>
      </c>
    </row>
    <row r="24" spans="1:21" ht="12.75" outlineLevel="1" x14ac:dyDescent="0.2">
      <c r="A24" s="119">
        <v>14</v>
      </c>
      <c r="B24" s="119" t="s">
        <v>25</v>
      </c>
      <c r="C24" s="119" t="s">
        <v>174</v>
      </c>
      <c r="D24" s="119"/>
      <c r="E24" s="119"/>
      <c r="F24" s="21"/>
      <c r="G24" s="21">
        <f>G23*G46/G30</f>
        <v>234541.69034766298</v>
      </c>
      <c r="H24" s="21">
        <f>H23*H46/H30</f>
        <v>722756.01092511672</v>
      </c>
      <c r="I24" s="21">
        <f t="shared" ref="I24:M24" si="5">I23*I46/I30</f>
        <v>816183.78649410326</v>
      </c>
      <c r="J24" s="21">
        <f t="shared" si="5"/>
        <v>233633.60568524455</v>
      </c>
      <c r="K24" s="21">
        <f>K23*K46/K30</f>
        <v>414637.50585501001</v>
      </c>
      <c r="L24" s="21">
        <f t="shared" si="5"/>
        <v>2795700.4813192948</v>
      </c>
      <c r="M24" s="21">
        <f t="shared" si="5"/>
        <v>1346911.5615878298</v>
      </c>
    </row>
    <row r="25" spans="1:21" ht="12.75" outlineLevel="1" x14ac:dyDescent="0.2">
      <c r="A25" s="119">
        <v>15</v>
      </c>
      <c r="B25" s="119" t="s">
        <v>25</v>
      </c>
      <c r="C25" s="119" t="s">
        <v>175</v>
      </c>
      <c r="D25" s="119"/>
      <c r="E25" s="119"/>
      <c r="F25" s="29"/>
      <c r="G25" s="29">
        <f>G24/G50</f>
        <v>62.759634718937598</v>
      </c>
      <c r="H25" s="29">
        <f>H24/H50</f>
        <v>47.42409568735598</v>
      </c>
      <c r="I25" s="29">
        <f t="shared" ref="I25:M25" si="6">I24/I50</f>
        <v>23.360590491843386</v>
      </c>
      <c r="J25" s="29">
        <f t="shared" si="6"/>
        <v>55.932815028164576</v>
      </c>
      <c r="K25" s="29">
        <f>K24/K50</f>
        <v>84.121462322179354</v>
      </c>
      <c r="L25" s="29">
        <f t="shared" si="6"/>
        <v>96.126002139936844</v>
      </c>
      <c r="M25" s="29">
        <f t="shared" si="6"/>
        <v>87.131060153114419</v>
      </c>
    </row>
    <row r="26" spans="1:21" ht="12.75" outlineLevel="1" x14ac:dyDescent="0.2">
      <c r="A26" s="119">
        <v>16</v>
      </c>
      <c r="B26" s="119" t="s">
        <v>25</v>
      </c>
      <c r="C26" s="119" t="s">
        <v>7</v>
      </c>
      <c r="D26" s="119"/>
      <c r="E26" s="119"/>
      <c r="F26" s="30">
        <f>SUM(G26:M26)</f>
        <v>1</v>
      </c>
      <c r="G26" s="33">
        <f>G49/$F49</f>
        <v>1.961312496923014E-2</v>
      </c>
      <c r="H26" s="33">
        <f>H49/$F49</f>
        <v>6.7173981339835098E-2</v>
      </c>
      <c r="I26" s="33">
        <f t="shared" ref="I26:M26" si="7">I49/$F49</f>
        <v>0.13138476680734115</v>
      </c>
      <c r="J26" s="33">
        <f t="shared" si="7"/>
        <v>4.3586531843166978E-2</v>
      </c>
      <c r="K26" s="33">
        <f>K49/$F49</f>
        <v>1.8957547385407576E-2</v>
      </c>
      <c r="L26" s="33">
        <f t="shared" si="7"/>
        <v>0.4815917843959176</v>
      </c>
      <c r="M26" s="33">
        <f t="shared" si="7"/>
        <v>0.23769226325910153</v>
      </c>
    </row>
    <row r="27" spans="1:21" ht="12.75" x14ac:dyDescent="0.2">
      <c r="A27" s="119">
        <v>17</v>
      </c>
      <c r="B27" s="119" t="s">
        <v>25</v>
      </c>
      <c r="C27" s="119" t="s">
        <v>177</v>
      </c>
      <c r="D27" s="119"/>
      <c r="E27" s="119"/>
      <c r="F27" s="68">
        <f>SUM(G27:M27)</f>
        <v>78.522329428561619</v>
      </c>
      <c r="G27" s="29">
        <f>G25*G26</f>
        <v>1.2309125587657577</v>
      </c>
      <c r="H27" s="29">
        <f>H25*H26</f>
        <v>3.1856653187610049</v>
      </c>
      <c r="I27" s="29">
        <f t="shared" ref="I27:M27" si="8">I25*I26</f>
        <v>3.0692257342526341</v>
      </c>
      <c r="J27" s="29">
        <f t="shared" si="8"/>
        <v>2.4379174233030638</v>
      </c>
      <c r="K27" s="29">
        <f>K25*K26</f>
        <v>1.5947366081024932</v>
      </c>
      <c r="L27" s="29">
        <f t="shared" si="8"/>
        <v>46.293492897417977</v>
      </c>
      <c r="M27" s="29">
        <f t="shared" si="8"/>
        <v>20.710378887958683</v>
      </c>
    </row>
    <row r="28" spans="1:21" ht="12.75" x14ac:dyDescent="0.2">
      <c r="A28" s="119"/>
      <c r="B28" s="119"/>
      <c r="C28" s="119"/>
      <c r="D28" s="119"/>
      <c r="E28" s="119"/>
      <c r="F28" s="118"/>
      <c r="L28" s="21"/>
      <c r="M28" s="21"/>
    </row>
    <row r="29" spans="1:21" ht="12.75" x14ac:dyDescent="0.2">
      <c r="A29" s="119"/>
      <c r="B29" s="119"/>
      <c r="C29" s="120" t="s">
        <v>23</v>
      </c>
      <c r="D29" s="119"/>
      <c r="E29" s="119"/>
      <c r="L29" s="21"/>
      <c r="M29" s="21"/>
    </row>
    <row r="30" spans="1:21" ht="12.75" outlineLevel="1" x14ac:dyDescent="0.2">
      <c r="A30" s="119">
        <v>18</v>
      </c>
      <c r="B30" s="119" t="s">
        <v>25</v>
      </c>
      <c r="C30" s="119" t="s">
        <v>24</v>
      </c>
      <c r="D30" s="119"/>
      <c r="E30" s="119"/>
      <c r="F30" s="31">
        <f>SUM(G30:M30)</f>
        <v>6223.5501000000013</v>
      </c>
      <c r="G30" s="82">
        <v>570.73333000000002</v>
      </c>
      <c r="H30" s="82">
        <v>911.44999999999993</v>
      </c>
      <c r="I30" s="82">
        <v>867.3000000000003</v>
      </c>
      <c r="J30" s="82">
        <v>208.70000999999996</v>
      </c>
      <c r="K30" s="82">
        <v>1258.3500299999998</v>
      </c>
      <c r="L30" s="82">
        <v>1981.3166700000006</v>
      </c>
      <c r="M30" s="82">
        <v>425.70005999999995</v>
      </c>
    </row>
    <row r="31" spans="1:21" ht="12.75" outlineLevel="1" x14ac:dyDescent="0.2">
      <c r="A31" s="119">
        <v>19</v>
      </c>
      <c r="B31" s="119" t="s">
        <v>25</v>
      </c>
      <c r="C31" s="119" t="s">
        <v>9</v>
      </c>
      <c r="D31" s="119"/>
      <c r="E31" s="119"/>
      <c r="F31" s="31">
        <f>SUM(G31:M31)</f>
        <v>85437.200000000012</v>
      </c>
      <c r="G31" s="82">
        <v>5040.6000000000004</v>
      </c>
      <c r="H31" s="82">
        <v>13489.5</v>
      </c>
      <c r="I31" s="82">
        <v>27325.899999999998</v>
      </c>
      <c r="J31" s="82">
        <v>11891.700000000003</v>
      </c>
      <c r="K31" s="82">
        <v>15207.500000000002</v>
      </c>
      <c r="L31" s="82">
        <v>8082.6</v>
      </c>
      <c r="M31" s="82">
        <v>4399.3999999999996</v>
      </c>
    </row>
    <row r="32" spans="1:21" ht="12.75" outlineLevel="1" x14ac:dyDescent="0.2">
      <c r="A32" s="119">
        <v>20</v>
      </c>
      <c r="B32" s="119" t="s">
        <v>25</v>
      </c>
      <c r="C32" s="119" t="s">
        <v>10</v>
      </c>
      <c r="D32" s="119"/>
      <c r="E32" s="119"/>
      <c r="F32" s="31">
        <f>SUM(G32:M32)</f>
        <v>27329.269875000005</v>
      </c>
      <c r="G32" s="82">
        <v>1558.884</v>
      </c>
      <c r="H32" s="82">
        <v>2415.8265000000001</v>
      </c>
      <c r="I32" s="82">
        <v>6542.7787499999986</v>
      </c>
      <c r="J32" s="82">
        <v>235.87199999999999</v>
      </c>
      <c r="K32" s="82">
        <v>2086.8757499999992</v>
      </c>
      <c r="L32" s="82">
        <v>9209.2245000000057</v>
      </c>
      <c r="M32" s="82">
        <v>5279.8083750000005</v>
      </c>
    </row>
    <row r="33" spans="1:13" s="26" customFormat="1" ht="12.75" outlineLevel="1" x14ac:dyDescent="0.2">
      <c r="A33" s="119">
        <v>21</v>
      </c>
      <c r="B33" s="119" t="s">
        <v>25</v>
      </c>
      <c r="C33" s="120" t="s">
        <v>11</v>
      </c>
      <c r="D33" s="120"/>
      <c r="E33" s="120"/>
      <c r="F33" s="124">
        <f>SUM(G33:M33)</f>
        <v>28367.314500000008</v>
      </c>
      <c r="G33" s="84">
        <v>556.34250000000009</v>
      </c>
      <c r="H33" s="84">
        <v>1905.4455</v>
      </c>
      <c r="I33" s="84">
        <v>3726.8374999999987</v>
      </c>
      <c r="J33" s="84">
        <v>1236.3679999999999</v>
      </c>
      <c r="K33" s="84">
        <v>539.23450000000003</v>
      </c>
      <c r="L33" s="84">
        <v>13660.749000000007</v>
      </c>
      <c r="M33" s="84">
        <v>6742.3374999999996</v>
      </c>
    </row>
    <row r="34" spans="1:13" ht="12.75" outlineLevel="1" x14ac:dyDescent="0.2">
      <c r="A34" s="119">
        <v>22</v>
      </c>
      <c r="B34" s="119" t="s">
        <v>25</v>
      </c>
      <c r="C34" s="119" t="s">
        <v>12</v>
      </c>
      <c r="D34" s="119"/>
      <c r="E34" s="119"/>
      <c r="F34" s="31"/>
      <c r="G34" s="19">
        <v>7155.826500000001</v>
      </c>
      <c r="H34" s="19">
        <v>17810.772000000001</v>
      </c>
      <c r="I34" s="19">
        <v>37595.516250000001</v>
      </c>
      <c r="J34" s="19">
        <v>13363.940000000002</v>
      </c>
      <c r="K34" s="19">
        <v>17833.610250000005</v>
      </c>
      <c r="L34" s="19">
        <v>30952.573499999988</v>
      </c>
      <c r="M34" s="19">
        <v>16421.545875</v>
      </c>
    </row>
    <row r="35" spans="1:13" ht="12.75" outlineLevel="1" x14ac:dyDescent="0.2">
      <c r="A35" s="119">
        <v>23</v>
      </c>
      <c r="B35" s="119" t="s">
        <v>25</v>
      </c>
      <c r="C35" s="119" t="s">
        <v>13</v>
      </c>
      <c r="D35" s="119"/>
      <c r="E35" s="119"/>
      <c r="F35" s="31">
        <f>SUM(G35:M35)</f>
        <v>538762</v>
      </c>
      <c r="G35" s="82">
        <v>50684</v>
      </c>
      <c r="H35" s="82">
        <v>74061</v>
      </c>
      <c r="I35" s="82">
        <v>93964</v>
      </c>
      <c r="J35" s="82">
        <v>22449</v>
      </c>
      <c r="K35" s="82">
        <v>111359</v>
      </c>
      <c r="L35" s="82">
        <v>150970</v>
      </c>
      <c r="M35" s="82">
        <v>35275</v>
      </c>
    </row>
    <row r="36" spans="1:13" ht="12.75" outlineLevel="1" x14ac:dyDescent="0.2">
      <c r="A36" s="119">
        <v>24</v>
      </c>
      <c r="B36" s="119" t="s">
        <v>25</v>
      </c>
      <c r="C36" s="119" t="s">
        <v>14</v>
      </c>
      <c r="D36" s="119"/>
      <c r="E36" s="119"/>
      <c r="F36" s="31">
        <f>SUM(G36:M36)</f>
        <v>437625.12599999999</v>
      </c>
      <c r="G36" s="82">
        <v>19548.074000000001</v>
      </c>
      <c r="H36" s="82">
        <v>52543.489000000009</v>
      </c>
      <c r="I36" s="82">
        <v>85742.150000000052</v>
      </c>
      <c r="J36" s="82">
        <v>26792.881499999996</v>
      </c>
      <c r="K36" s="82">
        <v>66828.801499999972</v>
      </c>
      <c r="L36" s="82">
        <v>133343.52999999997</v>
      </c>
      <c r="M36" s="82">
        <v>52826.19999999999</v>
      </c>
    </row>
    <row r="37" spans="1:13" ht="12.75" outlineLevel="1" x14ac:dyDescent="0.2">
      <c r="A37" s="119">
        <v>25</v>
      </c>
      <c r="B37" s="119" t="s">
        <v>25</v>
      </c>
      <c r="C37" s="119" t="s">
        <v>15</v>
      </c>
      <c r="D37" s="119"/>
      <c r="E37" s="119"/>
      <c r="F37" s="31">
        <f>SUM(G37:M37)</f>
        <v>11519</v>
      </c>
      <c r="G37" s="82">
        <v>929</v>
      </c>
      <c r="H37" s="82">
        <v>1379</v>
      </c>
      <c r="I37" s="82">
        <v>1758</v>
      </c>
      <c r="J37" s="82">
        <v>318</v>
      </c>
      <c r="K37" s="82">
        <v>2498</v>
      </c>
      <c r="L37" s="82">
        <v>3843</v>
      </c>
      <c r="M37" s="82">
        <v>794</v>
      </c>
    </row>
    <row r="38" spans="1:13" ht="12.75" outlineLevel="1" x14ac:dyDescent="0.2">
      <c r="A38" s="119"/>
      <c r="B38" s="119"/>
      <c r="C38" s="119"/>
      <c r="D38" s="119"/>
      <c r="E38" s="119"/>
      <c r="F38" s="31"/>
      <c r="G38" s="19"/>
      <c r="H38" s="19"/>
      <c r="I38" s="19"/>
      <c r="J38" s="19"/>
      <c r="K38" s="19"/>
      <c r="L38" s="19"/>
      <c r="M38" s="19"/>
    </row>
    <row r="39" spans="1:13" ht="12.75" outlineLevel="1" x14ac:dyDescent="0.2">
      <c r="A39" s="119">
        <v>27</v>
      </c>
      <c r="B39" s="119" t="s">
        <v>25</v>
      </c>
      <c r="C39" s="119" t="s">
        <v>17</v>
      </c>
      <c r="D39" s="119"/>
      <c r="E39" s="119"/>
      <c r="F39" s="31"/>
      <c r="G39" s="22">
        <f t="shared" ref="G39:M39" si="9">G34/G36</f>
        <v>0.3660629942366701</v>
      </c>
      <c r="H39" s="22">
        <f t="shared" si="9"/>
        <v>0.33897200850137676</v>
      </c>
      <c r="I39" s="22">
        <f t="shared" si="9"/>
        <v>0.43847181637036137</v>
      </c>
      <c r="J39" s="22">
        <f t="shared" si="9"/>
        <v>0.49878696324618926</v>
      </c>
      <c r="K39" s="22">
        <f t="shared" ref="K39:L40" si="10">K34/K36</f>
        <v>0.26685515600635173</v>
      </c>
      <c r="L39" s="22">
        <f t="shared" si="10"/>
        <v>0.23212654937213673</v>
      </c>
      <c r="M39" s="22">
        <f t="shared" si="9"/>
        <v>0.31085987398298576</v>
      </c>
    </row>
    <row r="40" spans="1:13" ht="12.75" outlineLevel="1" x14ac:dyDescent="0.2">
      <c r="A40" s="119">
        <v>28</v>
      </c>
      <c r="B40" s="119" t="s">
        <v>25</v>
      </c>
      <c r="C40" s="119" t="s">
        <v>18</v>
      </c>
      <c r="D40" s="119"/>
      <c r="E40" s="119"/>
      <c r="F40" s="19">
        <f>F35/F37</f>
        <v>46.771594756489279</v>
      </c>
      <c r="G40" s="19">
        <f t="shared" ref="G40:M40" si="11">G35/G37</f>
        <v>54.557588805166844</v>
      </c>
      <c r="H40" s="19">
        <f t="shared" si="11"/>
        <v>53.706308919506888</v>
      </c>
      <c r="I40" s="19">
        <f t="shared" si="11"/>
        <v>53.449374288964734</v>
      </c>
      <c r="J40" s="19">
        <f t="shared" si="11"/>
        <v>70.594339622641513</v>
      </c>
      <c r="K40" s="19">
        <f t="shared" si="10"/>
        <v>44.579263410728586</v>
      </c>
      <c r="L40" s="19">
        <f t="shared" si="10"/>
        <v>39.284413218839447</v>
      </c>
      <c r="M40" s="19">
        <f t="shared" si="11"/>
        <v>44.426952141057932</v>
      </c>
    </row>
    <row r="41" spans="1:13" ht="12.75" outlineLevel="1" x14ac:dyDescent="0.2">
      <c r="A41" s="119">
        <v>29</v>
      </c>
      <c r="B41" s="119" t="s">
        <v>25</v>
      </c>
      <c r="C41" s="119" t="s">
        <v>19</v>
      </c>
      <c r="D41" s="119"/>
      <c r="E41" s="119"/>
      <c r="F41" s="31"/>
      <c r="G41" s="34">
        <f t="shared" ref="G41:M41" si="12">G36/G35</f>
        <v>0.38568530502722753</v>
      </c>
      <c r="H41" s="34">
        <f t="shared" si="12"/>
        <v>0.70946232159976252</v>
      </c>
      <c r="I41" s="34">
        <f t="shared" si="12"/>
        <v>0.91250000000000053</v>
      </c>
      <c r="J41" s="34">
        <f t="shared" si="12"/>
        <v>1.1934999999999998</v>
      </c>
      <c r="K41" s="34">
        <f>K36/K35</f>
        <v>0.60012034501028177</v>
      </c>
      <c r="L41" s="34">
        <f>L36/L35</f>
        <v>0.88324521428098279</v>
      </c>
      <c r="M41" s="34">
        <f t="shared" si="12"/>
        <v>1.4975535081502478</v>
      </c>
    </row>
    <row r="42" spans="1:13" ht="12.75" outlineLevel="1" x14ac:dyDescent="0.2">
      <c r="A42" s="119">
        <v>30</v>
      </c>
      <c r="B42" s="119" t="s">
        <v>25</v>
      </c>
      <c r="C42" s="119" t="s">
        <v>20</v>
      </c>
      <c r="D42" s="119"/>
      <c r="E42" s="119"/>
      <c r="F42" s="31"/>
      <c r="G42" s="34">
        <f t="shared" ref="G42:M42" si="13">G34/G35</f>
        <v>0.14118511759135036</v>
      </c>
      <c r="H42" s="34">
        <f t="shared" si="13"/>
        <v>0.24048786810872119</v>
      </c>
      <c r="I42" s="34">
        <f t="shared" si="13"/>
        <v>0.40010553243795499</v>
      </c>
      <c r="J42" s="34">
        <f t="shared" si="13"/>
        <v>0.5953022406343268</v>
      </c>
      <c r="K42" s="34">
        <f>K34/K35</f>
        <v>0.16014520829030437</v>
      </c>
      <c r="L42" s="34">
        <f>L34/L35</f>
        <v>0.20502466384049803</v>
      </c>
      <c r="M42" s="34">
        <f t="shared" si="13"/>
        <v>0.46552929482636429</v>
      </c>
    </row>
    <row r="43" spans="1:13" ht="12.75" outlineLevel="1" x14ac:dyDescent="0.2">
      <c r="A43" s="119">
        <v>31</v>
      </c>
      <c r="B43" s="119" t="s">
        <v>25</v>
      </c>
      <c r="C43" s="119" t="s">
        <v>21</v>
      </c>
      <c r="D43" s="119"/>
      <c r="E43" s="119"/>
      <c r="F43" s="31"/>
      <c r="G43" s="19">
        <f t="shared" ref="G43:M43" si="14">G34/G30</f>
        <v>12.537950955133461</v>
      </c>
      <c r="H43" s="19">
        <f t="shared" si="14"/>
        <v>19.541139941850901</v>
      </c>
      <c r="I43" s="19">
        <f t="shared" si="14"/>
        <v>43.34776461432029</v>
      </c>
      <c r="J43" s="19">
        <f t="shared" si="14"/>
        <v>64.03420871901254</v>
      </c>
      <c r="K43" s="19">
        <f>K34/K30</f>
        <v>14.172217447318699</v>
      </c>
      <c r="L43" s="19">
        <f>L34/L30</f>
        <v>15.622224336304594</v>
      </c>
      <c r="M43" s="19">
        <f t="shared" si="14"/>
        <v>38.575390088035228</v>
      </c>
    </row>
    <row r="44" spans="1:13" ht="12.75" x14ac:dyDescent="0.2">
      <c r="A44" s="119"/>
      <c r="B44" s="119"/>
      <c r="C44" s="119"/>
      <c r="D44" s="119"/>
      <c r="E44" s="119"/>
      <c r="L44" s="21"/>
      <c r="M44" s="21"/>
    </row>
    <row r="45" spans="1:13" ht="12.75" x14ac:dyDescent="0.2">
      <c r="A45" s="119"/>
      <c r="B45" s="119"/>
      <c r="C45" s="120" t="s">
        <v>22</v>
      </c>
      <c r="D45" s="119"/>
      <c r="E45" s="119"/>
      <c r="L45" s="21"/>
      <c r="M45" s="21"/>
    </row>
    <row r="46" spans="1:13" ht="12.75" x14ac:dyDescent="0.2">
      <c r="A46" s="119">
        <v>32</v>
      </c>
      <c r="B46" s="119" t="s">
        <v>25</v>
      </c>
      <c r="C46" s="119" t="s">
        <v>24</v>
      </c>
      <c r="D46" s="119"/>
      <c r="E46" s="119"/>
      <c r="F46" s="31">
        <f t="shared" ref="F46:F53" si="15">SUM(G46:M46)</f>
        <v>4543.5667300000005</v>
      </c>
      <c r="G46" s="82">
        <v>261.33333000000005</v>
      </c>
      <c r="H46" s="82">
        <v>758.84999999999991</v>
      </c>
      <c r="I46" s="82">
        <v>823.50000000000023</v>
      </c>
      <c r="J46" s="82">
        <v>81.466669999999993</v>
      </c>
      <c r="K46" s="82">
        <v>394.71667000000008</v>
      </c>
      <c r="L46" s="82">
        <v>1837.1833400000005</v>
      </c>
      <c r="M46" s="82">
        <v>386.51671999999996</v>
      </c>
    </row>
    <row r="47" spans="1:13" ht="12.75" x14ac:dyDescent="0.2">
      <c r="A47" s="119">
        <v>33</v>
      </c>
      <c r="B47" s="119" t="s">
        <v>25</v>
      </c>
      <c r="C47" s="119" t="s">
        <v>9</v>
      </c>
      <c r="D47" s="119"/>
      <c r="E47" s="119"/>
      <c r="F47" s="31">
        <f t="shared" si="15"/>
        <v>54329.599999999999</v>
      </c>
      <c r="G47" s="82">
        <v>2360.1</v>
      </c>
      <c r="H47" s="82">
        <v>10943.9</v>
      </c>
      <c r="I47" s="82">
        <v>24697.899999999998</v>
      </c>
      <c r="J47" s="82">
        <v>2704.8000000000006</v>
      </c>
      <c r="K47" s="82">
        <v>3591.3999999999996</v>
      </c>
      <c r="L47" s="82">
        <v>6317.4000000000005</v>
      </c>
      <c r="M47" s="82">
        <v>3714.0999999999995</v>
      </c>
    </row>
    <row r="48" spans="1:13" ht="12.75" x14ac:dyDescent="0.2">
      <c r="A48" s="119">
        <v>34</v>
      </c>
      <c r="B48" s="119" t="s">
        <v>25</v>
      </c>
      <c r="C48" s="119" t="s">
        <v>10</v>
      </c>
      <c r="D48" s="119"/>
      <c r="E48" s="119"/>
      <c r="F48" s="31">
        <f t="shared" si="15"/>
        <v>24868.71225</v>
      </c>
      <c r="G48" s="82">
        <v>820.69987500000002</v>
      </c>
      <c r="H48" s="82">
        <v>2390.92425</v>
      </c>
      <c r="I48" s="82">
        <v>6513.7537499999989</v>
      </c>
      <c r="J48" s="82">
        <v>235.87199999999999</v>
      </c>
      <c r="K48" s="82">
        <v>799.88699999999949</v>
      </c>
      <c r="L48" s="82">
        <v>9105.5580000000064</v>
      </c>
      <c r="M48" s="82">
        <v>5002.0173750000004</v>
      </c>
    </row>
    <row r="49" spans="1:13" ht="12.75" x14ac:dyDescent="0.2">
      <c r="A49" s="119">
        <v>35</v>
      </c>
      <c r="B49" s="119" t="s">
        <v>25</v>
      </c>
      <c r="C49" s="120" t="s">
        <v>11</v>
      </c>
      <c r="D49" s="119"/>
      <c r="E49" s="119"/>
      <c r="F49" s="124">
        <f t="shared" si="15"/>
        <v>28365.826500000003</v>
      </c>
      <c r="G49" s="84">
        <v>556.34250000000009</v>
      </c>
      <c r="H49" s="84">
        <v>1905.4455</v>
      </c>
      <c r="I49" s="84">
        <v>3726.8374999999987</v>
      </c>
      <c r="J49" s="84">
        <v>1236.3679999999999</v>
      </c>
      <c r="K49" s="84">
        <v>537.74649999999997</v>
      </c>
      <c r="L49" s="84">
        <v>13660.749000000007</v>
      </c>
      <c r="M49" s="84">
        <v>6742.3374999999996</v>
      </c>
    </row>
    <row r="50" spans="1:13" ht="12.75" x14ac:dyDescent="0.2">
      <c r="A50" s="119">
        <v>36</v>
      </c>
      <c r="B50" s="119" t="s">
        <v>25</v>
      </c>
      <c r="C50" s="119" t="s">
        <v>12</v>
      </c>
      <c r="D50" s="119"/>
      <c r="E50" s="119"/>
      <c r="F50" s="31">
        <f t="shared" si="15"/>
        <v>107564.13874999998</v>
      </c>
      <c r="G50" s="19">
        <v>3737.1423750000013</v>
      </c>
      <c r="H50" s="19">
        <v>15240.269749999999</v>
      </c>
      <c r="I50" s="19">
        <v>34938.491249999999</v>
      </c>
      <c r="J50" s="19">
        <v>4177.04</v>
      </c>
      <c r="K50" s="19">
        <v>4929.0335000000023</v>
      </c>
      <c r="L50" s="19">
        <v>29083.706999999988</v>
      </c>
      <c r="M50" s="19">
        <v>15458.454874999999</v>
      </c>
    </row>
    <row r="51" spans="1:13" ht="12.75" x14ac:dyDescent="0.2">
      <c r="A51" s="119">
        <v>37</v>
      </c>
      <c r="B51" s="119" t="s">
        <v>25</v>
      </c>
      <c r="C51" s="119" t="s">
        <v>13</v>
      </c>
      <c r="D51" s="119"/>
      <c r="E51" s="119"/>
      <c r="F51" s="31">
        <f t="shared" si="15"/>
        <v>380714</v>
      </c>
      <c r="G51" s="82">
        <v>23718</v>
      </c>
      <c r="H51" s="82">
        <v>60164</v>
      </c>
      <c r="I51" s="82">
        <v>87919</v>
      </c>
      <c r="J51" s="82">
        <v>7112</v>
      </c>
      <c r="K51" s="82">
        <v>30929</v>
      </c>
      <c r="L51" s="82">
        <v>139002</v>
      </c>
      <c r="M51" s="82">
        <v>31870</v>
      </c>
    </row>
    <row r="52" spans="1:13" ht="12.75" x14ac:dyDescent="0.2">
      <c r="A52" s="119">
        <v>38</v>
      </c>
      <c r="B52" s="119" t="s">
        <v>25</v>
      </c>
      <c r="C52" s="119" t="s">
        <v>14</v>
      </c>
      <c r="D52" s="119"/>
      <c r="E52" s="119"/>
      <c r="F52" s="31">
        <f t="shared" si="15"/>
        <v>328818.58999999997</v>
      </c>
      <c r="G52" s="82">
        <v>9047.7849999999999</v>
      </c>
      <c r="H52" s="82">
        <v>42126.601500000012</v>
      </c>
      <c r="I52" s="82">
        <v>80226.087500000052</v>
      </c>
      <c r="J52" s="82">
        <v>8488.1720000000005</v>
      </c>
      <c r="K52" s="82">
        <v>18557.556500000006</v>
      </c>
      <c r="L52" s="82">
        <v>122582.18249999997</v>
      </c>
      <c r="M52" s="82">
        <v>47790.204999999987</v>
      </c>
    </row>
    <row r="53" spans="1:13" ht="12.75" x14ac:dyDescent="0.2">
      <c r="A53" s="119">
        <v>39</v>
      </c>
      <c r="B53" s="119" t="s">
        <v>25</v>
      </c>
      <c r="C53" s="119" t="s">
        <v>15</v>
      </c>
      <c r="D53" s="119"/>
      <c r="E53" s="119"/>
      <c r="F53" s="31">
        <f t="shared" si="15"/>
        <v>8506</v>
      </c>
      <c r="G53" s="82">
        <v>417</v>
      </c>
      <c r="H53" s="82">
        <v>1119</v>
      </c>
      <c r="I53" s="82">
        <v>1676</v>
      </c>
      <c r="J53" s="82">
        <v>127</v>
      </c>
      <c r="K53" s="82">
        <v>858</v>
      </c>
      <c r="L53" s="82">
        <v>3576</v>
      </c>
      <c r="M53" s="82">
        <v>733</v>
      </c>
    </row>
    <row r="54" spans="1:13" ht="12.75" x14ac:dyDescent="0.2">
      <c r="A54" s="119">
        <v>40</v>
      </c>
      <c r="B54" s="119" t="s">
        <v>25</v>
      </c>
      <c r="C54" s="119" t="s">
        <v>16</v>
      </c>
      <c r="D54" s="119"/>
      <c r="E54" s="119"/>
      <c r="F54" s="63"/>
      <c r="G54" s="19"/>
      <c r="H54" s="19"/>
      <c r="I54" s="19"/>
      <c r="J54" s="19"/>
      <c r="K54" s="19"/>
      <c r="L54" s="19"/>
      <c r="M54" s="19"/>
    </row>
    <row r="55" spans="1:13" ht="12.75" x14ac:dyDescent="0.2">
      <c r="A55" s="119">
        <v>41</v>
      </c>
      <c r="B55" s="119" t="s">
        <v>25</v>
      </c>
      <c r="C55" s="119" t="s">
        <v>17</v>
      </c>
      <c r="D55" s="119"/>
      <c r="E55" s="119"/>
      <c r="F55" s="64"/>
      <c r="G55" s="22">
        <f t="shared" ref="G55:I56" si="16">G50/G52</f>
        <v>0.41304500217456552</v>
      </c>
      <c r="H55" s="22">
        <f t="shared" si="16"/>
        <v>0.36177306517355773</v>
      </c>
      <c r="I55" s="22">
        <f t="shared" si="16"/>
        <v>0.43550037573501232</v>
      </c>
      <c r="J55" s="22">
        <f t="shared" ref="J55:M56" si="17">J50/J52</f>
        <v>0.49210124394274757</v>
      </c>
      <c r="K55" s="22">
        <f>K50/K52</f>
        <v>0.26560789401341717</v>
      </c>
      <c r="L55" s="22">
        <f t="shared" si="17"/>
        <v>0.23725884469384445</v>
      </c>
      <c r="M55" s="22">
        <f t="shared" si="17"/>
        <v>0.32346492079286965</v>
      </c>
    </row>
    <row r="56" spans="1:13" ht="12.75" x14ac:dyDescent="0.2">
      <c r="A56" s="119">
        <v>42</v>
      </c>
      <c r="B56" s="119" t="s">
        <v>25</v>
      </c>
      <c r="C56" s="119" t="s">
        <v>18</v>
      </c>
      <c r="D56" s="119"/>
      <c r="E56" s="119"/>
      <c r="F56" s="19">
        <f>F51/F53</f>
        <v>44.75828826710557</v>
      </c>
      <c r="G56" s="19">
        <f t="shared" si="16"/>
        <v>56.877697841726622</v>
      </c>
      <c r="H56" s="19">
        <f t="shared" si="16"/>
        <v>53.765862377122431</v>
      </c>
      <c r="I56" s="19">
        <f t="shared" si="16"/>
        <v>52.457637231503583</v>
      </c>
      <c r="J56" s="19">
        <f t="shared" si="17"/>
        <v>56</v>
      </c>
      <c r="K56" s="19">
        <f>K51/K53</f>
        <v>36.047785547785551</v>
      </c>
      <c r="L56" s="19">
        <f t="shared" si="17"/>
        <v>38.870805369127517</v>
      </c>
      <c r="M56" s="19">
        <f t="shared" si="17"/>
        <v>43.478854024556618</v>
      </c>
    </row>
    <row r="57" spans="1:13" ht="12.75" x14ac:dyDescent="0.2">
      <c r="A57" s="119">
        <v>43</v>
      </c>
      <c r="B57" s="119" t="s">
        <v>25</v>
      </c>
      <c r="C57" s="119" t="s">
        <v>19</v>
      </c>
      <c r="D57" s="119"/>
      <c r="E57" s="119"/>
      <c r="F57" s="31"/>
      <c r="G57" s="34">
        <f>G52/G51</f>
        <v>0.38147335357112738</v>
      </c>
      <c r="H57" s="34">
        <f>H52/H51</f>
        <v>0.70019615550827752</v>
      </c>
      <c r="I57" s="34">
        <f>I52/I51</f>
        <v>0.91250000000000064</v>
      </c>
      <c r="J57" s="34">
        <f t="shared" ref="J57:M57" si="18">J52/J51</f>
        <v>1.1935</v>
      </c>
      <c r="K57" s="34">
        <f>K52/K51</f>
        <v>0.60000505997607445</v>
      </c>
      <c r="L57" s="34">
        <f t="shared" si="18"/>
        <v>0.8818735162083996</v>
      </c>
      <c r="M57" s="34">
        <f t="shared" si="18"/>
        <v>1.4995357703169121</v>
      </c>
    </row>
    <row r="58" spans="1:13" ht="12.75" x14ac:dyDescent="0.2">
      <c r="A58" s="119">
        <v>44</v>
      </c>
      <c r="B58" s="119" t="s">
        <v>25</v>
      </c>
      <c r="C58" s="119" t="s">
        <v>20</v>
      </c>
      <c r="D58" s="119"/>
      <c r="E58" s="119"/>
      <c r="F58" s="31"/>
      <c r="G58" s="34">
        <f>G50/G51</f>
        <v>0.15756566215532511</v>
      </c>
      <c r="H58" s="34">
        <f>H50/H51</f>
        <v>0.25331210940097065</v>
      </c>
      <c r="I58" s="34">
        <f>I50/I51</f>
        <v>0.39739409285819899</v>
      </c>
      <c r="J58" s="34">
        <f t="shared" ref="J58:M58" si="19">J50/J51</f>
        <v>0.58732283464566926</v>
      </c>
      <c r="K58" s="34">
        <f>K50/K51</f>
        <v>0.15936608037763919</v>
      </c>
      <c r="L58" s="34">
        <f t="shared" si="19"/>
        <v>0.2092322916217032</v>
      </c>
      <c r="M58" s="34">
        <f t="shared" si="19"/>
        <v>0.48504721917163474</v>
      </c>
    </row>
    <row r="59" spans="1:13" ht="12.75" x14ac:dyDescent="0.2">
      <c r="A59" s="119">
        <v>45</v>
      </c>
      <c r="B59" s="119" t="s">
        <v>25</v>
      </c>
      <c r="C59" s="119" t="s">
        <v>21</v>
      </c>
      <c r="D59" s="119"/>
      <c r="E59" s="119"/>
      <c r="F59" s="31"/>
      <c r="G59" s="19">
        <f>G50/G46</f>
        <v>14.300289882656761</v>
      </c>
      <c r="H59" s="19">
        <f>H50/H46</f>
        <v>20.08337583185083</v>
      </c>
      <c r="I59" s="19">
        <f>I50/I46</f>
        <v>42.426826047358823</v>
      </c>
      <c r="J59" s="19">
        <f t="shared" ref="J59:M59" si="20">J50/J46</f>
        <v>51.272992992103397</v>
      </c>
      <c r="K59" s="19">
        <f>K50/K46</f>
        <v>12.487523012392664</v>
      </c>
      <c r="L59" s="19">
        <f t="shared" si="20"/>
        <v>15.830595872919238</v>
      </c>
      <c r="M59" s="19">
        <f t="shared" si="20"/>
        <v>39.994272110660567</v>
      </c>
    </row>
    <row r="87" spans="15:22" x14ac:dyDescent="0.2">
      <c r="O87" s="116">
        <v>56.854057898091746</v>
      </c>
      <c r="P87" s="116">
        <v>42.961567479614267</v>
      </c>
      <c r="Q87" s="116">
        <v>21.162397937859733</v>
      </c>
      <c r="R87" s="116">
        <v>49.111669461590758</v>
      </c>
      <c r="S87" s="116">
        <v>81.424802826089746</v>
      </c>
      <c r="T87" s="116">
        <v>199.6266936720468</v>
      </c>
      <c r="U87" s="116">
        <v>95.222485868912628</v>
      </c>
      <c r="V87" s="116">
        <v>86.312089959749628</v>
      </c>
    </row>
  </sheetData>
  <mergeCells count="1">
    <mergeCell ref="G5:M5"/>
  </mergeCells>
  <pageMargins left="0.7" right="0.7" top="0.25" bottom="0.25" header="0.3" footer="0.3"/>
  <pageSetup orientation="portrait" verticalDpi="598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34"/>
  <sheetViews>
    <sheetView showGridLines="0" topLeftCell="A16" zoomScale="115" zoomScaleNormal="115" workbookViewId="0">
      <selection activeCell="F24" sqref="F24"/>
    </sheetView>
  </sheetViews>
  <sheetFormatPr defaultColWidth="9.140625" defaultRowHeight="15" x14ac:dyDescent="0.25"/>
  <cols>
    <col min="1" max="1" width="3" style="2" bestFit="1" customWidth="1"/>
    <col min="2" max="2" width="1.5703125" style="2" bestFit="1" customWidth="1"/>
    <col min="3" max="3" width="26.140625" style="2" customWidth="1"/>
    <col min="4" max="4" width="17.140625" style="3" customWidth="1"/>
    <col min="5" max="5" width="11.140625" style="69" bestFit="1" customWidth="1"/>
    <col min="6" max="6" width="11.140625" style="69" customWidth="1"/>
    <col min="7" max="7" width="11.5703125" style="69" bestFit="1" customWidth="1"/>
    <col min="8" max="8" width="11.140625" style="69" bestFit="1" customWidth="1"/>
    <col min="9" max="9" width="9.5703125" style="69" bestFit="1" customWidth="1"/>
    <col min="10" max="10" width="10.28515625" style="69" bestFit="1" customWidth="1"/>
    <col min="11" max="11" width="10.85546875" style="2" customWidth="1"/>
    <col min="12" max="16384" width="9.140625" style="23"/>
  </cols>
  <sheetData>
    <row r="1" spans="1:21" x14ac:dyDescent="0.25">
      <c r="K1" s="70"/>
    </row>
    <row r="2" spans="1:21" x14ac:dyDescent="0.25">
      <c r="K2" s="70" t="s">
        <v>48</v>
      </c>
    </row>
    <row r="3" spans="1:21" x14ac:dyDescent="0.25">
      <c r="K3" s="70" t="s">
        <v>151</v>
      </c>
    </row>
    <row r="4" spans="1:21" x14ac:dyDescent="0.25">
      <c r="K4" s="70" t="s">
        <v>76</v>
      </c>
    </row>
    <row r="6" spans="1:21" x14ac:dyDescent="0.25">
      <c r="D6" s="8" t="s">
        <v>165</v>
      </c>
      <c r="E6" s="71"/>
      <c r="F6" s="71"/>
      <c r="G6" s="71"/>
      <c r="H6" s="71"/>
      <c r="I6" s="71"/>
      <c r="J6" s="71"/>
      <c r="K6" s="8"/>
    </row>
    <row r="10" spans="1:21" x14ac:dyDescent="0.25">
      <c r="C10" s="2" t="s">
        <v>31</v>
      </c>
      <c r="E10" s="70" t="s">
        <v>43</v>
      </c>
      <c r="F10" s="70" t="s">
        <v>43</v>
      </c>
      <c r="G10" s="70" t="s">
        <v>43</v>
      </c>
      <c r="H10" s="70" t="s">
        <v>130</v>
      </c>
      <c r="I10" s="70" t="s">
        <v>45</v>
      </c>
      <c r="J10" s="70" t="s">
        <v>110</v>
      </c>
      <c r="K10" s="70" t="s">
        <v>110</v>
      </c>
      <c r="M10" s="70"/>
      <c r="N10" s="70"/>
      <c r="O10" s="70"/>
      <c r="P10" s="70"/>
      <c r="Q10" s="70"/>
      <c r="R10" s="70"/>
      <c r="S10" s="70"/>
      <c r="T10" s="70"/>
      <c r="U10" s="70"/>
    </row>
    <row r="11" spans="1:21" x14ac:dyDescent="0.25">
      <c r="C11" s="2" t="s">
        <v>4</v>
      </c>
      <c r="D11" s="5"/>
      <c r="E11" s="3" t="s">
        <v>44</v>
      </c>
      <c r="F11" s="3" t="s">
        <v>44</v>
      </c>
      <c r="G11" s="3" t="s">
        <v>44</v>
      </c>
      <c r="H11" s="3" t="s">
        <v>128</v>
      </c>
      <c r="I11" s="3" t="s">
        <v>46</v>
      </c>
      <c r="J11" s="3" t="s">
        <v>42</v>
      </c>
      <c r="K11" s="3" t="s">
        <v>42</v>
      </c>
      <c r="M11" s="3"/>
      <c r="N11" s="3"/>
      <c r="O11" s="3"/>
      <c r="P11" s="3"/>
      <c r="Q11" s="3"/>
      <c r="R11" s="3"/>
      <c r="S11" s="3"/>
      <c r="T11" s="3"/>
      <c r="U11" s="3"/>
    </row>
    <row r="12" spans="1:21" s="19" customFormat="1" x14ac:dyDescent="0.25">
      <c r="A12" s="15"/>
      <c r="B12" s="15"/>
      <c r="C12" s="16" t="s">
        <v>8</v>
      </c>
      <c r="D12" s="72" t="s">
        <v>27</v>
      </c>
      <c r="E12" s="16">
        <v>35</v>
      </c>
      <c r="F12" s="16">
        <v>40</v>
      </c>
      <c r="G12" s="16">
        <v>416</v>
      </c>
      <c r="H12" s="16">
        <v>415</v>
      </c>
      <c r="I12" s="16">
        <v>40</v>
      </c>
      <c r="J12" s="16">
        <v>40</v>
      </c>
      <c r="K12" s="16">
        <v>42</v>
      </c>
      <c r="M12" s="16"/>
      <c r="N12" s="16"/>
      <c r="O12" s="16"/>
      <c r="P12" s="16"/>
      <c r="Q12" s="16"/>
      <c r="R12" s="16"/>
      <c r="S12" s="16"/>
      <c r="T12" s="16"/>
      <c r="U12" s="16"/>
    </row>
    <row r="13" spans="1:21" x14ac:dyDescent="0.25">
      <c r="A13" s="2">
        <v>1</v>
      </c>
      <c r="B13" s="2" t="s">
        <v>25</v>
      </c>
      <c r="C13" s="2" t="s">
        <v>114</v>
      </c>
      <c r="D13" s="69"/>
      <c r="E13" s="79">
        <v>42057</v>
      </c>
      <c r="F13" s="79">
        <v>85207</v>
      </c>
      <c r="G13" s="79">
        <v>91925</v>
      </c>
      <c r="H13" s="79">
        <v>37078</v>
      </c>
      <c r="I13" s="79">
        <v>197946</v>
      </c>
      <c r="J13" s="79">
        <v>209106</v>
      </c>
      <c r="K13" s="79">
        <v>51899</v>
      </c>
    </row>
    <row r="14" spans="1:21" x14ac:dyDescent="0.25">
      <c r="A14" s="2">
        <f>A13+1</f>
        <v>2</v>
      </c>
      <c r="B14" s="2" t="s">
        <v>25</v>
      </c>
      <c r="C14" s="2" t="s">
        <v>115</v>
      </c>
      <c r="D14" s="15"/>
      <c r="E14" s="80">
        <v>8821</v>
      </c>
      <c r="F14" s="80">
        <v>19828</v>
      </c>
      <c r="G14" s="80">
        <v>41225</v>
      </c>
      <c r="H14" s="80">
        <v>14050</v>
      </c>
      <c r="I14" s="80">
        <v>33176</v>
      </c>
      <c r="J14" s="80">
        <v>49330</v>
      </c>
      <c r="K14" s="80">
        <v>20118</v>
      </c>
    </row>
    <row r="15" spans="1:21" x14ac:dyDescent="0.25">
      <c r="A15" s="2">
        <f t="shared" ref="A15:A27" si="0">A14+1</f>
        <v>3</v>
      </c>
      <c r="B15" s="2" t="s">
        <v>25</v>
      </c>
      <c r="C15" s="2" t="s">
        <v>40</v>
      </c>
      <c r="D15" s="15"/>
      <c r="E15" s="80">
        <v>572</v>
      </c>
      <c r="F15" s="80">
        <v>911</v>
      </c>
      <c r="G15" s="80">
        <v>868</v>
      </c>
      <c r="H15" s="80">
        <v>281</v>
      </c>
      <c r="I15" s="80">
        <v>1276</v>
      </c>
      <c r="J15" s="80">
        <v>2010</v>
      </c>
      <c r="K15" s="80">
        <v>432</v>
      </c>
    </row>
    <row r="16" spans="1:21" x14ac:dyDescent="0.25">
      <c r="D16" s="15"/>
      <c r="E16" s="15"/>
      <c r="F16" s="15"/>
      <c r="G16" s="15"/>
      <c r="H16" s="15"/>
      <c r="I16" s="15"/>
      <c r="J16" s="15"/>
      <c r="K16" s="15"/>
    </row>
    <row r="17" spans="1:11" x14ac:dyDescent="0.25">
      <c r="A17" s="2">
        <f>A15+1</f>
        <v>4</v>
      </c>
      <c r="B17" s="2" t="s">
        <v>25</v>
      </c>
      <c r="C17" s="2" t="s">
        <v>39</v>
      </c>
      <c r="D17" s="15"/>
      <c r="E17" s="117">
        <v>571</v>
      </c>
      <c r="F17" s="117">
        <v>911</v>
      </c>
      <c r="G17" s="117">
        <v>867</v>
      </c>
      <c r="H17" s="80">
        <v>209</v>
      </c>
      <c r="I17" s="80">
        <v>1258</v>
      </c>
      <c r="J17" s="80">
        <v>1981</v>
      </c>
      <c r="K17" s="80">
        <v>426</v>
      </c>
    </row>
    <row r="18" spans="1:11" x14ac:dyDescent="0.25">
      <c r="A18" s="2">
        <f t="shared" si="0"/>
        <v>5</v>
      </c>
      <c r="B18" s="2" t="s">
        <v>25</v>
      </c>
      <c r="C18" s="2" t="s">
        <v>125</v>
      </c>
      <c r="D18" s="15"/>
      <c r="E18" s="117">
        <v>261</v>
      </c>
      <c r="F18" s="117">
        <v>759</v>
      </c>
      <c r="G18" s="117">
        <v>824</v>
      </c>
      <c r="H18" s="80">
        <v>81</v>
      </c>
      <c r="I18" s="80">
        <v>395</v>
      </c>
      <c r="J18" s="80">
        <v>1837</v>
      </c>
      <c r="K18" s="80">
        <v>387</v>
      </c>
    </row>
    <row r="19" spans="1:11" s="26" customFormat="1" x14ac:dyDescent="0.25">
      <c r="A19" s="2">
        <f t="shared" si="0"/>
        <v>6</v>
      </c>
      <c r="B19" s="4" t="s">
        <v>25</v>
      </c>
      <c r="C19" s="2" t="s">
        <v>41</v>
      </c>
      <c r="D19" s="15">
        <f>SUM(E19:K19)</f>
        <v>28365</v>
      </c>
      <c r="E19" s="117">
        <v>556</v>
      </c>
      <c r="F19" s="117">
        <v>1905</v>
      </c>
      <c r="G19" s="117">
        <v>3727</v>
      </c>
      <c r="H19" s="80">
        <v>1236</v>
      </c>
      <c r="I19" s="80">
        <v>538</v>
      </c>
      <c r="J19" s="80">
        <v>13661</v>
      </c>
      <c r="K19" s="80">
        <v>6742</v>
      </c>
    </row>
    <row r="20" spans="1:11" x14ac:dyDescent="0.25">
      <c r="A20" s="2">
        <f t="shared" si="0"/>
        <v>7</v>
      </c>
      <c r="B20" s="2" t="s">
        <v>25</v>
      </c>
      <c r="C20" s="2" t="s">
        <v>49</v>
      </c>
      <c r="D20" s="15"/>
      <c r="E20" s="117">
        <v>3737</v>
      </c>
      <c r="F20" s="117">
        <v>15240</v>
      </c>
      <c r="G20" s="117">
        <v>34938</v>
      </c>
      <c r="H20" s="80">
        <v>4177</v>
      </c>
      <c r="I20" s="80">
        <v>4929</v>
      </c>
      <c r="J20" s="80">
        <v>29084</v>
      </c>
      <c r="K20" s="80">
        <v>15458</v>
      </c>
    </row>
    <row r="21" spans="1:11" x14ac:dyDescent="0.25">
      <c r="A21" s="2">
        <f t="shared" si="0"/>
        <v>8</v>
      </c>
      <c r="B21" s="2" t="s">
        <v>25</v>
      </c>
      <c r="C21" s="2" t="s">
        <v>32</v>
      </c>
      <c r="D21" s="73"/>
      <c r="E21" s="73">
        <f t="shared" ref="E21:K21" si="1">E13/E14</f>
        <v>4.7678267770094092</v>
      </c>
      <c r="F21" s="73">
        <f>F13/F14</f>
        <v>4.2973068388137987</v>
      </c>
      <c r="G21" s="73">
        <f>G13/G14</f>
        <v>2.2298362644026684</v>
      </c>
      <c r="H21" s="73">
        <f t="shared" si="1"/>
        <v>2.6390035587188612</v>
      </c>
      <c r="I21" s="73">
        <f>I13/I14</f>
        <v>5.9665420786110444</v>
      </c>
      <c r="J21" s="73">
        <f t="shared" si="1"/>
        <v>4.2389215487532939</v>
      </c>
      <c r="K21" s="73">
        <f t="shared" si="1"/>
        <v>2.5797295953872155</v>
      </c>
    </row>
    <row r="22" spans="1:11" x14ac:dyDescent="0.25">
      <c r="A22" s="2">
        <f t="shared" si="0"/>
        <v>9</v>
      </c>
      <c r="B22" s="2" t="s">
        <v>25</v>
      </c>
      <c r="C22" s="2" t="s">
        <v>33</v>
      </c>
      <c r="D22" s="15"/>
      <c r="E22" s="15">
        <f t="shared" ref="E22:K22" si="2">E14/E17</f>
        <v>15.448336252189142</v>
      </c>
      <c r="F22" s="15">
        <f>F14/F17</f>
        <v>21.76509330406147</v>
      </c>
      <c r="G22" s="15">
        <f>G14/G17</f>
        <v>47.549019607843135</v>
      </c>
      <c r="H22" s="15">
        <f t="shared" si="2"/>
        <v>67.224880382775126</v>
      </c>
      <c r="I22" s="15">
        <f>I14/I17</f>
        <v>26.372019077901431</v>
      </c>
      <c r="J22" s="15">
        <f t="shared" si="2"/>
        <v>24.901564866229176</v>
      </c>
      <c r="K22" s="15">
        <f t="shared" si="2"/>
        <v>47.225352112676056</v>
      </c>
    </row>
    <row r="23" spans="1:11" x14ac:dyDescent="0.25">
      <c r="A23" s="2">
        <f t="shared" si="0"/>
        <v>10</v>
      </c>
      <c r="B23" s="2" t="s">
        <v>25</v>
      </c>
      <c r="C23" s="2" t="s">
        <v>34</v>
      </c>
      <c r="D23" s="73"/>
      <c r="E23" s="73">
        <f t="shared" ref="E23:K23" si="3">E13/E17</f>
        <v>73.654991243432576</v>
      </c>
      <c r="F23" s="73">
        <f>F13/F17</f>
        <v>93.531284302963769</v>
      </c>
      <c r="G23" s="73">
        <f>G13/G17</f>
        <v>106.02652825836216</v>
      </c>
      <c r="H23" s="73">
        <f t="shared" si="3"/>
        <v>177.40669856459331</v>
      </c>
      <c r="I23" s="73">
        <f>I13/I17</f>
        <v>157.3497615262321</v>
      </c>
      <c r="J23" s="73">
        <f t="shared" si="3"/>
        <v>105.5557799091368</v>
      </c>
      <c r="K23" s="73">
        <f t="shared" si="3"/>
        <v>121.82863849765258</v>
      </c>
    </row>
    <row r="24" spans="1:11" x14ac:dyDescent="0.25">
      <c r="A24" s="2">
        <f t="shared" si="0"/>
        <v>11</v>
      </c>
      <c r="B24" s="2" t="s">
        <v>25</v>
      </c>
      <c r="C24" s="2" t="s">
        <v>35</v>
      </c>
      <c r="D24" s="70"/>
      <c r="E24" s="69">
        <f t="shared" ref="E24:K24" si="4">E13*E18/E17</f>
        <v>19223.952714535902</v>
      </c>
      <c r="F24" s="69">
        <f>F13*F18/F17</f>
        <v>70990.244785949501</v>
      </c>
      <c r="G24" s="69">
        <f>G13*G18/G17</f>
        <v>87365.859284890423</v>
      </c>
      <c r="H24" s="69">
        <f t="shared" si="4"/>
        <v>14369.942583732058</v>
      </c>
      <c r="I24" s="69">
        <f>I13*I18/I17</f>
        <v>62153.155802861686</v>
      </c>
      <c r="J24" s="69">
        <f t="shared" si="4"/>
        <v>193905.9676930843</v>
      </c>
      <c r="K24" s="69">
        <f t="shared" si="4"/>
        <v>47147.683098591551</v>
      </c>
    </row>
    <row r="25" spans="1:11" x14ac:dyDescent="0.25">
      <c r="A25" s="2">
        <f t="shared" si="0"/>
        <v>12</v>
      </c>
      <c r="B25" s="2" t="s">
        <v>25</v>
      </c>
      <c r="C25" s="2" t="s">
        <v>36</v>
      </c>
      <c r="D25" s="53"/>
      <c r="E25" s="73">
        <f t="shared" ref="E25:K25" si="5">E24/E20</f>
        <v>5.1442206889312025</v>
      </c>
      <c r="F25" s="73">
        <f>F24/F20</f>
        <v>4.65815254500981</v>
      </c>
      <c r="G25" s="73">
        <f>G24/G20</f>
        <v>2.5005970371770112</v>
      </c>
      <c r="H25" s="73">
        <f t="shared" si="5"/>
        <v>3.4402543892104518</v>
      </c>
      <c r="I25" s="73">
        <f>I24/I20</f>
        <v>12.609688740690137</v>
      </c>
      <c r="J25" s="73">
        <f t="shared" si="5"/>
        <v>6.667101075955312</v>
      </c>
      <c r="K25" s="73">
        <f t="shared" si="5"/>
        <v>3.0500506597613892</v>
      </c>
    </row>
    <row r="26" spans="1:11" x14ac:dyDescent="0.25">
      <c r="A26" s="2">
        <f t="shared" si="0"/>
        <v>13</v>
      </c>
      <c r="B26" s="2" t="s">
        <v>25</v>
      </c>
      <c r="C26" s="2" t="s">
        <v>37</v>
      </c>
      <c r="D26" s="14">
        <f>SUM(E26:K26)</f>
        <v>1</v>
      </c>
      <c r="E26" s="74">
        <f t="shared" ref="E26:K26" si="6">E19/$D19</f>
        <v>1.9601621716904636E-2</v>
      </c>
      <c r="F26" s="74">
        <f>F19/$D19</f>
        <v>6.7160232681121104E-2</v>
      </c>
      <c r="G26" s="74">
        <f>G19/$D19</f>
        <v>0.13139432399083378</v>
      </c>
      <c r="H26" s="74">
        <f t="shared" si="6"/>
        <v>4.3574828133262827E-2</v>
      </c>
      <c r="I26" s="74">
        <f>I19/$D19</f>
        <v>1.8967036841177509E-2</v>
      </c>
      <c r="J26" s="74">
        <f t="shared" si="6"/>
        <v>0.48161466596157237</v>
      </c>
      <c r="K26" s="74">
        <f t="shared" si="6"/>
        <v>0.23768729067512781</v>
      </c>
    </row>
    <row r="27" spans="1:11" x14ac:dyDescent="0.25">
      <c r="A27" s="2">
        <f t="shared" si="0"/>
        <v>14</v>
      </c>
      <c r="B27" s="2" t="s">
        <v>25</v>
      </c>
      <c r="C27" s="2" t="s">
        <v>38</v>
      </c>
      <c r="D27" s="75">
        <f>SUM(E27:K27)</f>
        <v>5.0672507940469025</v>
      </c>
      <c r="E27" s="53">
        <f t="shared" ref="E27:K27" si="7">E25*E26</f>
        <v>0.10083506797270399</v>
      </c>
      <c r="F27" s="53">
        <f>F25*F26</f>
        <v>0.31284260878701531</v>
      </c>
      <c r="G27" s="53">
        <f>G25*G26</f>
        <v>0.32856425727335525</v>
      </c>
      <c r="H27" s="53">
        <f t="shared" si="7"/>
        <v>0.14990849374454851</v>
      </c>
      <c r="I27" s="53">
        <f>I25*I26</f>
        <v>0.23916843090045106</v>
      </c>
      <c r="J27" s="53">
        <f t="shared" si="7"/>
        <v>3.2109736576282573</v>
      </c>
      <c r="K27" s="53">
        <f t="shared" si="7"/>
        <v>0.72495827774057064</v>
      </c>
    </row>
    <row r="28" spans="1:11" x14ac:dyDescent="0.25">
      <c r="D28" s="51"/>
      <c r="E28" s="53"/>
      <c r="F28" s="53"/>
      <c r="G28" s="53"/>
      <c r="H28" s="53"/>
      <c r="I28" s="53"/>
      <c r="J28" s="53"/>
      <c r="K28" s="53"/>
    </row>
    <row r="29" spans="1:11" x14ac:dyDescent="0.25">
      <c r="C29" s="2" t="s">
        <v>116</v>
      </c>
      <c r="D29" s="51"/>
      <c r="E29" s="14">
        <f t="shared" ref="E29:K29" si="8">E15/E17-1</f>
        <v>1.7513134851139256E-3</v>
      </c>
      <c r="F29" s="14">
        <f>F15/F17-1</f>
        <v>0</v>
      </c>
      <c r="G29" s="14">
        <f t="shared" si="8"/>
        <v>1.1534025374855261E-3</v>
      </c>
      <c r="H29" s="14">
        <f t="shared" si="8"/>
        <v>0.34449760765550241</v>
      </c>
      <c r="I29" s="14">
        <f t="shared" si="8"/>
        <v>1.4308426073131875E-2</v>
      </c>
      <c r="J29" s="14">
        <f t="shared" si="8"/>
        <v>1.463907117617369E-2</v>
      </c>
      <c r="K29" s="14">
        <f t="shared" si="8"/>
        <v>1.4084507042253502E-2</v>
      </c>
    </row>
    <row r="33" spans="5:11" x14ac:dyDescent="0.25">
      <c r="E33" s="15"/>
      <c r="F33" s="15"/>
      <c r="G33" s="15"/>
      <c r="H33" s="15"/>
      <c r="I33" s="15"/>
      <c r="J33" s="15"/>
      <c r="K33" s="15"/>
    </row>
    <row r="34" spans="5:11" x14ac:dyDescent="0.25">
      <c r="K34" s="69"/>
    </row>
  </sheetData>
  <pageMargins left="0.7" right="0.7" top="0.75" bottom="0.75" header="0.3" footer="0.3"/>
  <pageSetup orientation="portrait" verticalDpi="598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41"/>
  <sheetViews>
    <sheetView showGridLines="0" workbookViewId="0">
      <selection activeCell="A26" sqref="A26"/>
    </sheetView>
  </sheetViews>
  <sheetFormatPr defaultColWidth="9.140625" defaultRowHeight="15" x14ac:dyDescent="0.25"/>
  <cols>
    <col min="1" max="1" width="3.28515625" style="2" customWidth="1"/>
    <col min="2" max="2" width="9.140625" style="2"/>
    <col min="3" max="3" width="17.85546875" style="2" customWidth="1"/>
    <col min="4" max="4" width="5.7109375" style="2" bestFit="1" customWidth="1"/>
    <col min="5" max="5" width="9.140625" style="2"/>
    <col min="6" max="6" width="11.42578125" style="2" bestFit="1" customWidth="1"/>
    <col min="7" max="7" width="10.140625" style="2" bestFit="1" customWidth="1"/>
    <col min="8" max="8" width="9.28515625" style="14" bestFit="1" customWidth="1"/>
    <col min="9" max="9" width="9.42578125" style="14" bestFit="1" customWidth="1"/>
    <col min="10" max="10" width="3.5703125" style="2" customWidth="1"/>
    <col min="11" max="14" width="9.140625" style="2"/>
    <col min="15" max="15" width="41.140625" style="2" bestFit="1" customWidth="1"/>
    <col min="16" max="16" width="9.140625" style="2"/>
    <col min="17" max="17" width="10.5703125" style="2" bestFit="1" customWidth="1"/>
    <col min="18" max="18" width="9.140625" style="2"/>
    <col min="19" max="19" width="12.28515625" style="2" bestFit="1" customWidth="1"/>
    <col min="20" max="20" width="10.7109375" style="2" bestFit="1" customWidth="1"/>
    <col min="21" max="24" width="9.140625" style="2"/>
    <col min="25" max="25" width="10.42578125" style="2" bestFit="1" customWidth="1"/>
    <col min="26" max="16384" width="9.140625" style="2"/>
  </cols>
  <sheetData>
    <row r="1" spans="1:25" x14ac:dyDescent="0.25">
      <c r="J1" s="3"/>
      <c r="Q1" s="3" t="s">
        <v>111</v>
      </c>
      <c r="R1" s="14"/>
      <c r="S1" s="17" t="s">
        <v>106</v>
      </c>
    </row>
    <row r="2" spans="1:25" x14ac:dyDescent="0.25">
      <c r="J2" s="3" t="s">
        <v>113</v>
      </c>
      <c r="O2" s="4" t="s">
        <v>31</v>
      </c>
      <c r="P2" s="5" t="s">
        <v>108</v>
      </c>
      <c r="Q2" s="4" t="s">
        <v>11</v>
      </c>
      <c r="R2" s="18" t="s">
        <v>109</v>
      </c>
      <c r="S2" s="18" t="s">
        <v>109</v>
      </c>
      <c r="T2" s="76"/>
    </row>
    <row r="3" spans="1:25" x14ac:dyDescent="0.25">
      <c r="J3" s="3" t="s">
        <v>129</v>
      </c>
      <c r="O3" s="111" t="s">
        <v>157</v>
      </c>
      <c r="P3" s="111">
        <v>40</v>
      </c>
      <c r="Q3" s="114">
        <v>13660.749</v>
      </c>
      <c r="R3" s="112">
        <f t="shared" ref="R3:R15" si="0">Q3/$Q$16</f>
        <v>0.46848768293038007</v>
      </c>
      <c r="S3" s="113">
        <f>R3</f>
        <v>0.46848768293038007</v>
      </c>
      <c r="T3" s="77"/>
    </row>
    <row r="4" spans="1:25" x14ac:dyDescent="0.25">
      <c r="O4" t="s">
        <v>157</v>
      </c>
      <c r="P4">
        <v>42</v>
      </c>
      <c r="Q4" s="106">
        <v>6742.3374999999996</v>
      </c>
      <c r="R4" s="90">
        <f t="shared" si="0"/>
        <v>0.23122466219894761</v>
      </c>
      <c r="S4" s="92">
        <f t="shared" ref="S4:S15" si="1">(R4+S3)</f>
        <v>0.69971234512932767</v>
      </c>
      <c r="T4" s="77"/>
    </row>
    <row r="5" spans="1:25" x14ac:dyDescent="0.25">
      <c r="O5" t="s">
        <v>121</v>
      </c>
      <c r="P5">
        <v>416</v>
      </c>
      <c r="Q5" s="106">
        <v>3726.8375000000001</v>
      </c>
      <c r="R5" s="90">
        <f t="shared" si="0"/>
        <v>0.12780979030015488</v>
      </c>
      <c r="S5" s="92">
        <f t="shared" si="1"/>
        <v>0.82752213542948261</v>
      </c>
      <c r="T5" s="77"/>
    </row>
    <row r="6" spans="1:25" x14ac:dyDescent="0.25">
      <c r="O6" t="s">
        <v>121</v>
      </c>
      <c r="P6">
        <v>40</v>
      </c>
      <c r="Q6" s="106">
        <v>1905.4455</v>
      </c>
      <c r="R6" s="90">
        <f t="shared" si="0"/>
        <v>6.5346178840202648E-2</v>
      </c>
      <c r="S6" s="92">
        <f t="shared" si="1"/>
        <v>0.89286831426968527</v>
      </c>
      <c r="T6" s="77"/>
    </row>
    <row r="7" spans="1:25" x14ac:dyDescent="0.25">
      <c r="A7" s="127" t="s">
        <v>163</v>
      </c>
      <c r="B7" s="127"/>
      <c r="C7" s="127"/>
      <c r="D7" s="127"/>
      <c r="E7" s="127"/>
      <c r="F7" s="127"/>
      <c r="G7" s="127"/>
      <c r="H7" s="127"/>
      <c r="I7" s="127"/>
      <c r="J7" s="127"/>
      <c r="O7" s="111" t="s">
        <v>159</v>
      </c>
      <c r="P7" s="111">
        <v>415</v>
      </c>
      <c r="Q7" s="114">
        <v>1236.3679999999999</v>
      </c>
      <c r="R7" s="112">
        <f t="shared" si="0"/>
        <v>4.2400543306173627E-2</v>
      </c>
      <c r="S7" s="113">
        <f t="shared" si="1"/>
        <v>0.93526885757585887</v>
      </c>
      <c r="T7"/>
    </row>
    <row r="8" spans="1:25" x14ac:dyDescent="0.25">
      <c r="C8" s="15"/>
      <c r="D8" s="15"/>
      <c r="O8" t="s">
        <v>127</v>
      </c>
      <c r="P8">
        <v>40</v>
      </c>
      <c r="Q8" s="106">
        <v>599.68200000000002</v>
      </c>
      <c r="R8" s="90">
        <f t="shared" si="0"/>
        <v>2.0565755997350964E-2</v>
      </c>
      <c r="S8" s="92">
        <f t="shared" si="1"/>
        <v>0.95583461357320987</v>
      </c>
      <c r="T8"/>
      <c r="V8" s="2" t="s">
        <v>152</v>
      </c>
      <c r="W8" s="2" t="s">
        <v>153</v>
      </c>
      <c r="X8" s="2" t="s">
        <v>154</v>
      </c>
      <c r="Y8" s="2" t="s">
        <v>155</v>
      </c>
    </row>
    <row r="9" spans="1:25" x14ac:dyDescent="0.25">
      <c r="F9" s="3" t="s">
        <v>111</v>
      </c>
      <c r="G9" s="14"/>
      <c r="H9" s="17" t="s">
        <v>106</v>
      </c>
      <c r="I9" s="97"/>
      <c r="O9" t="s">
        <v>121</v>
      </c>
      <c r="P9">
        <v>35</v>
      </c>
      <c r="Q9" s="106">
        <v>556.34249999999997</v>
      </c>
      <c r="R9" s="90">
        <f t="shared" si="0"/>
        <v>1.9079452286305455E-2</v>
      </c>
      <c r="S9" s="92">
        <f t="shared" si="1"/>
        <v>0.97491406585951534</v>
      </c>
      <c r="T9"/>
      <c r="V9" s="2">
        <v>30</v>
      </c>
      <c r="W9" s="2" t="s">
        <v>156</v>
      </c>
      <c r="X9" s="2">
        <v>113.33332</v>
      </c>
      <c r="Y9" s="110">
        <v>0</v>
      </c>
    </row>
    <row r="10" spans="1:25" ht="15.75" thickBot="1" x14ac:dyDescent="0.3">
      <c r="C10" s="4" t="s">
        <v>31</v>
      </c>
      <c r="D10" s="99" t="s">
        <v>107</v>
      </c>
      <c r="E10" s="5" t="s">
        <v>108</v>
      </c>
      <c r="F10" s="5" t="s">
        <v>11</v>
      </c>
      <c r="G10" s="18" t="s">
        <v>109</v>
      </c>
      <c r="H10" s="18" t="s">
        <v>109</v>
      </c>
      <c r="I10" s="98"/>
      <c r="O10" s="93" t="s">
        <v>122</v>
      </c>
      <c r="P10" s="93">
        <v>40</v>
      </c>
      <c r="Q10" s="107">
        <v>539.23450000000003</v>
      </c>
      <c r="R10" s="94">
        <f t="shared" si="0"/>
        <v>1.8492743074418689E-2</v>
      </c>
      <c r="S10" s="95">
        <f t="shared" si="1"/>
        <v>0.99340680893393407</v>
      </c>
      <c r="T10" s="77"/>
      <c r="V10" s="2">
        <v>40</v>
      </c>
      <c r="W10" s="2" t="s">
        <v>156</v>
      </c>
      <c r="X10" s="109">
        <v>1093.016552</v>
      </c>
      <c r="Y10" s="110">
        <v>0</v>
      </c>
    </row>
    <row r="11" spans="1:25" x14ac:dyDescent="0.25">
      <c r="C11" t="s">
        <v>148</v>
      </c>
      <c r="D11" t="s">
        <v>42</v>
      </c>
      <c r="E11">
        <v>40</v>
      </c>
      <c r="F11" s="106">
        <v>13660.749</v>
      </c>
      <c r="G11" s="90">
        <f t="shared" ref="G11:G22" si="2">F11/$F$23</f>
        <v>0.47832479392982402</v>
      </c>
      <c r="H11" s="92">
        <f>G11</f>
        <v>0.47832479392982402</v>
      </c>
      <c r="I11" s="46"/>
      <c r="O11" s="111" t="s">
        <v>122</v>
      </c>
      <c r="P11" s="111">
        <v>35</v>
      </c>
      <c r="Q11" s="114">
        <v>156.05950000000001</v>
      </c>
      <c r="R11" s="112">
        <f t="shared" si="0"/>
        <v>5.351972542228369E-3</v>
      </c>
      <c r="S11" s="113">
        <f t="shared" si="1"/>
        <v>0.99875878147616248</v>
      </c>
      <c r="T11"/>
      <c r="V11" s="2">
        <v>42</v>
      </c>
      <c r="W11" s="2" t="s">
        <v>156</v>
      </c>
      <c r="X11" s="109">
        <v>1705.66659</v>
      </c>
      <c r="Y11" s="110">
        <v>0</v>
      </c>
    </row>
    <row r="12" spans="1:25" x14ac:dyDescent="0.25">
      <c r="C12" t="s">
        <v>148</v>
      </c>
      <c r="D12" t="s">
        <v>42</v>
      </c>
      <c r="E12">
        <v>42</v>
      </c>
      <c r="F12" s="106">
        <v>6742.3374999999996</v>
      </c>
      <c r="G12" s="90">
        <f t="shared" si="2"/>
        <v>0.23607982221859319</v>
      </c>
      <c r="H12" s="92">
        <f>(G12+H11)</f>
        <v>0.71440461614841722</v>
      </c>
      <c r="I12" s="46"/>
      <c r="O12" t="s">
        <v>122</v>
      </c>
      <c r="P12">
        <v>33</v>
      </c>
      <c r="Q12" s="106">
        <v>25.041</v>
      </c>
      <c r="R12" s="90">
        <f t="shared" si="0"/>
        <v>8.5876697304515645E-4</v>
      </c>
      <c r="S12" s="92">
        <f t="shared" si="1"/>
        <v>0.99961754844920769</v>
      </c>
      <c r="T12"/>
      <c r="V12" s="2">
        <v>42</v>
      </c>
      <c r="W12" s="2" t="s">
        <v>158</v>
      </c>
      <c r="X12" s="109">
        <v>2035.6333259999999</v>
      </c>
      <c r="Y12" s="110">
        <v>0</v>
      </c>
    </row>
    <row r="13" spans="1:25" x14ac:dyDescent="0.25">
      <c r="C13" t="s">
        <v>121</v>
      </c>
      <c r="D13" t="s">
        <v>44</v>
      </c>
      <c r="E13">
        <v>416</v>
      </c>
      <c r="F13" s="106">
        <v>3726.8375000000001</v>
      </c>
      <c r="G13" s="90">
        <f t="shared" si="2"/>
        <v>0.13049348752381298</v>
      </c>
      <c r="H13" s="92">
        <f t="shared" ref="H13:H22" si="3">(G13+H12)</f>
        <v>0.84489810367223017</v>
      </c>
      <c r="I13" s="46"/>
      <c r="O13" t="s">
        <v>126</v>
      </c>
      <c r="P13">
        <v>35</v>
      </c>
      <c r="Q13" s="106">
        <v>8.2204999999999995</v>
      </c>
      <c r="R13" s="90">
        <f t="shared" si="0"/>
        <v>2.8191741152181252E-4</v>
      </c>
      <c r="S13" s="92">
        <f t="shared" si="1"/>
        <v>0.99989946586072953</v>
      </c>
      <c r="T13"/>
      <c r="V13" s="2">
        <v>91</v>
      </c>
      <c r="W13" s="2" t="s">
        <v>156</v>
      </c>
      <c r="X13" s="2">
        <v>371.96660800000001</v>
      </c>
      <c r="Y13" s="110">
        <v>0</v>
      </c>
    </row>
    <row r="14" spans="1:25" x14ac:dyDescent="0.25">
      <c r="C14" t="s">
        <v>121</v>
      </c>
      <c r="D14" t="s">
        <v>44</v>
      </c>
      <c r="E14">
        <v>40</v>
      </c>
      <c r="F14" s="106">
        <v>1905.4455</v>
      </c>
      <c r="G14" s="90">
        <f t="shared" si="2"/>
        <v>6.6718290932071919E-2</v>
      </c>
      <c r="H14" s="92">
        <f t="shared" si="3"/>
        <v>0.9116163946043021</v>
      </c>
      <c r="I14" s="46"/>
      <c r="O14" s="111" t="s">
        <v>126</v>
      </c>
      <c r="P14" s="111">
        <v>416</v>
      </c>
      <c r="Q14" s="114">
        <v>1.8654999999999999</v>
      </c>
      <c r="R14" s="112">
        <f t="shared" si="0"/>
        <v>6.3976270445099609E-5</v>
      </c>
      <c r="S14" s="113">
        <f t="shared" si="1"/>
        <v>0.99996344213117461</v>
      </c>
      <c r="T14"/>
      <c r="V14" s="2">
        <v>416</v>
      </c>
      <c r="W14" s="2" t="s">
        <v>160</v>
      </c>
      <c r="X14" s="109">
        <v>19722.932980000001</v>
      </c>
      <c r="Y14" s="110">
        <v>0</v>
      </c>
    </row>
    <row r="15" spans="1:25" ht="15.75" thickBot="1" x14ac:dyDescent="0.3">
      <c r="B15" s="65"/>
      <c r="C15" t="s">
        <v>123</v>
      </c>
      <c r="D15" t="s">
        <v>128</v>
      </c>
      <c r="E15">
        <v>415</v>
      </c>
      <c r="F15" s="106">
        <v>1236.3679999999999</v>
      </c>
      <c r="G15" s="90">
        <f t="shared" si="2"/>
        <v>4.3290852413833868E-2</v>
      </c>
      <c r="H15" s="92">
        <f t="shared" si="3"/>
        <v>0.95490724701813601</v>
      </c>
      <c r="I15" s="46"/>
      <c r="O15" s="89" t="s">
        <v>126</v>
      </c>
      <c r="P15" s="89">
        <v>40</v>
      </c>
      <c r="Q15" s="108">
        <v>1.0660000000000001</v>
      </c>
      <c r="R15" s="91">
        <f t="shared" si="0"/>
        <v>3.6557868825771204E-5</v>
      </c>
      <c r="S15" s="96">
        <f t="shared" si="1"/>
        <v>1.0000000000000004</v>
      </c>
      <c r="T15"/>
      <c r="V15" s="2">
        <v>485</v>
      </c>
      <c r="W15" s="2" t="s">
        <v>161</v>
      </c>
      <c r="X15" s="109">
        <v>1230.5333250000001</v>
      </c>
      <c r="Y15" s="110">
        <v>0</v>
      </c>
    </row>
    <row r="16" spans="1:25" ht="15.75" thickTop="1" x14ac:dyDescent="0.25">
      <c r="B16" s="6"/>
      <c r="C16" t="s">
        <v>121</v>
      </c>
      <c r="D16" t="s">
        <v>44</v>
      </c>
      <c r="E16">
        <v>35</v>
      </c>
      <c r="F16" s="106">
        <v>556.34249999999997</v>
      </c>
      <c r="G16" s="90">
        <f t="shared" si="2"/>
        <v>1.9480074750433018E-2</v>
      </c>
      <c r="H16" s="92">
        <f t="shared" si="3"/>
        <v>0.97438732176856901</v>
      </c>
      <c r="I16" s="46"/>
      <c r="O16" s="1" t="s">
        <v>140</v>
      </c>
      <c r="P16" s="1"/>
      <c r="Q16" s="115">
        <f>SUM(Q3:Q15)</f>
        <v>29159.248999999996</v>
      </c>
      <c r="R16" s="1"/>
      <c r="T16"/>
      <c r="V16" s="2">
        <v>40</v>
      </c>
      <c r="W16" s="2" t="s">
        <v>126</v>
      </c>
      <c r="X16" s="2">
        <v>3.1</v>
      </c>
      <c r="Y16" s="110">
        <v>1.0660000000000001</v>
      </c>
    </row>
    <row r="17" spans="3:25" ht="15.75" thickBot="1" x14ac:dyDescent="0.3">
      <c r="C17" s="93" t="s">
        <v>122</v>
      </c>
      <c r="D17" s="93" t="s">
        <v>46</v>
      </c>
      <c r="E17" s="93">
        <v>40</v>
      </c>
      <c r="F17" s="107">
        <v>539.23450000000003</v>
      </c>
      <c r="G17" s="94">
        <f t="shared" si="2"/>
        <v>1.8881046060677323E-2</v>
      </c>
      <c r="H17" s="95">
        <f t="shared" si="3"/>
        <v>0.99326836782924632</v>
      </c>
      <c r="I17" s="46"/>
      <c r="T17"/>
      <c r="V17" s="2">
        <v>416</v>
      </c>
      <c r="W17" s="2" t="s">
        <v>126</v>
      </c>
      <c r="X17" s="2">
        <v>3.4</v>
      </c>
      <c r="Y17" s="110">
        <v>1.8654999999999999</v>
      </c>
    </row>
    <row r="18" spans="3:25" x14ac:dyDescent="0.25">
      <c r="C18" t="s">
        <v>122</v>
      </c>
      <c r="D18" t="s">
        <v>46</v>
      </c>
      <c r="E18">
        <v>35</v>
      </c>
      <c r="F18" s="106">
        <v>156.05950000000001</v>
      </c>
      <c r="G18" s="90">
        <f t="shared" si="2"/>
        <v>5.4643510526612687E-3</v>
      </c>
      <c r="H18" s="92">
        <f t="shared" si="3"/>
        <v>0.99873271888190762</v>
      </c>
      <c r="I18" s="46"/>
      <c r="T18"/>
      <c r="V18" s="2">
        <v>35</v>
      </c>
      <c r="W18" s="2" t="s">
        <v>126</v>
      </c>
      <c r="X18" s="2">
        <v>14.6</v>
      </c>
      <c r="Y18" s="110">
        <v>8.2204999999999995</v>
      </c>
    </row>
    <row r="19" spans="3:25" x14ac:dyDescent="0.25">
      <c r="C19" t="s">
        <v>122</v>
      </c>
      <c r="D19" t="s">
        <v>46</v>
      </c>
      <c r="E19">
        <v>33</v>
      </c>
      <c r="F19" s="106">
        <v>25.041</v>
      </c>
      <c r="G19" s="90">
        <f t="shared" si="2"/>
        <v>8.7679900749195545E-4</v>
      </c>
      <c r="H19" s="92">
        <f t="shared" si="3"/>
        <v>0.99960951788939956</v>
      </c>
      <c r="I19" s="85"/>
      <c r="T19"/>
      <c r="V19" s="2">
        <v>33</v>
      </c>
      <c r="W19" s="2" t="s">
        <v>122</v>
      </c>
      <c r="X19" s="2">
        <v>93.816630000000004</v>
      </c>
      <c r="Y19" s="110">
        <v>25.041</v>
      </c>
    </row>
    <row r="20" spans="3:25" x14ac:dyDescent="0.25">
      <c r="C20" t="s">
        <v>126</v>
      </c>
      <c r="D20" t="s">
        <v>162</v>
      </c>
      <c r="E20">
        <v>35</v>
      </c>
      <c r="F20" s="106">
        <v>8.2204999999999995</v>
      </c>
      <c r="G20" s="90">
        <f t="shared" si="2"/>
        <v>2.878369969684765E-4</v>
      </c>
      <c r="H20" s="92">
        <f t="shared" si="3"/>
        <v>0.99989735488636799</v>
      </c>
      <c r="I20" s="46"/>
      <c r="T20"/>
      <c r="V20" s="2">
        <v>35</v>
      </c>
      <c r="W20" s="2" t="s">
        <v>122</v>
      </c>
      <c r="X20" s="2">
        <v>396.683246</v>
      </c>
      <c r="Y20" s="110">
        <v>156.05950000000001</v>
      </c>
    </row>
    <row r="21" spans="3:25" x14ac:dyDescent="0.25">
      <c r="C21" s="111" t="s">
        <v>126</v>
      </c>
      <c r="D21" s="111" t="s">
        <v>162</v>
      </c>
      <c r="E21" s="111">
        <v>416</v>
      </c>
      <c r="F21" s="114">
        <v>1.8654999999999999</v>
      </c>
      <c r="G21" s="112">
        <f t="shared" si="2"/>
        <v>6.5319617765913622E-5</v>
      </c>
      <c r="H21" s="92">
        <f t="shared" si="3"/>
        <v>0.9999626745041339</v>
      </c>
      <c r="I21" s="46"/>
      <c r="T21"/>
      <c r="V21" s="2">
        <v>40</v>
      </c>
      <c r="W21" s="2" t="s">
        <v>122</v>
      </c>
      <c r="X21" s="109">
        <v>1258.3497649999999</v>
      </c>
      <c r="Y21" s="110">
        <v>539.23450000000003</v>
      </c>
    </row>
    <row r="22" spans="3:25" ht="15.75" thickBot="1" x14ac:dyDescent="0.3">
      <c r="C22" s="89" t="s">
        <v>126</v>
      </c>
      <c r="D22" s="89" t="s">
        <v>162</v>
      </c>
      <c r="E22" s="89">
        <v>40</v>
      </c>
      <c r="F22" s="108">
        <v>1.0660000000000001</v>
      </c>
      <c r="G22" s="91">
        <f t="shared" si="2"/>
        <v>3.7325495866236356E-5</v>
      </c>
      <c r="H22" s="96">
        <f t="shared" si="3"/>
        <v>1.0000000000000002</v>
      </c>
      <c r="I22" s="46"/>
      <c r="V22" s="2">
        <v>35</v>
      </c>
      <c r="W22" s="2" t="s">
        <v>121</v>
      </c>
      <c r="X22" s="2">
        <v>570.73333300000002</v>
      </c>
      <c r="Y22" s="110">
        <v>556.34249999999997</v>
      </c>
    </row>
    <row r="23" spans="3:25" ht="15.75" thickTop="1" x14ac:dyDescent="0.25">
      <c r="C23" s="1" t="s">
        <v>140</v>
      </c>
      <c r="D23" s="1"/>
      <c r="E23" s="1"/>
      <c r="F23" s="88">
        <f>SUM(F11:F22)</f>
        <v>28559.566999999995</v>
      </c>
      <c r="G23" s="1"/>
      <c r="H23" s="2"/>
      <c r="I23" s="46"/>
      <c r="V23" s="2">
        <v>40</v>
      </c>
      <c r="W23" s="2" t="s">
        <v>127</v>
      </c>
      <c r="X23" s="2">
        <v>120.316637</v>
      </c>
      <c r="Y23" s="110">
        <v>599.68200000000002</v>
      </c>
    </row>
    <row r="24" spans="3:25" x14ac:dyDescent="0.25">
      <c r="C24" s="1"/>
      <c r="D24" s="1"/>
      <c r="E24" s="1"/>
      <c r="F24" s="1"/>
      <c r="G24" s="1"/>
      <c r="H24" s="46"/>
      <c r="I24" s="46"/>
      <c r="J24" s="1"/>
      <c r="V24" s="2">
        <v>415</v>
      </c>
      <c r="W24" s="2" t="s">
        <v>159</v>
      </c>
      <c r="X24" s="2">
        <v>208.69998699999999</v>
      </c>
      <c r="Y24" s="110">
        <v>1236.3679999999999</v>
      </c>
    </row>
    <row r="25" spans="3:25" x14ac:dyDescent="0.25">
      <c r="C25" s="1"/>
      <c r="D25" s="1"/>
      <c r="E25" s="1"/>
      <c r="F25" s="1"/>
      <c r="G25" s="1"/>
      <c r="H25" s="46"/>
      <c r="I25" s="46"/>
      <c r="J25" s="1"/>
      <c r="V25" s="2">
        <v>40</v>
      </c>
      <c r="W25" s="2" t="s">
        <v>121</v>
      </c>
      <c r="X25" s="2">
        <v>911.45</v>
      </c>
      <c r="Y25" s="110">
        <v>1905.4455</v>
      </c>
    </row>
    <row r="26" spans="3:25" x14ac:dyDescent="0.25">
      <c r="C26" s="1"/>
      <c r="D26" s="1"/>
      <c r="E26" s="1"/>
      <c r="F26" s="1"/>
      <c r="G26" s="1"/>
      <c r="H26" s="46"/>
      <c r="I26" s="46"/>
      <c r="J26" s="1"/>
      <c r="V26" s="2">
        <v>416</v>
      </c>
      <c r="W26" s="2" t="s">
        <v>121</v>
      </c>
      <c r="X26" s="2">
        <v>867.29999899999996</v>
      </c>
      <c r="Y26" s="110">
        <v>3726.8375000000001</v>
      </c>
    </row>
    <row r="27" spans="3:25" x14ac:dyDescent="0.25">
      <c r="C27" s="1"/>
      <c r="D27" s="1"/>
      <c r="E27" s="78"/>
      <c r="F27" s="78"/>
      <c r="G27" s="1"/>
      <c r="H27" s="46"/>
      <c r="I27" s="46"/>
      <c r="J27" s="1"/>
      <c r="V27" s="2">
        <v>42</v>
      </c>
      <c r="W27" s="2" t="s">
        <v>157</v>
      </c>
      <c r="X27" s="2">
        <v>425.69986299999999</v>
      </c>
      <c r="Y27" s="110">
        <v>6742.3374999999996</v>
      </c>
    </row>
    <row r="28" spans="3:25" x14ac:dyDescent="0.25">
      <c r="C28" s="1"/>
      <c r="D28" s="1"/>
      <c r="E28" s="9"/>
      <c r="F28" s="9"/>
      <c r="G28" s="1"/>
      <c r="H28" s="46"/>
      <c r="I28" s="46"/>
      <c r="J28" s="1"/>
      <c r="V28" s="2">
        <v>40</v>
      </c>
      <c r="W28" s="2" t="s">
        <v>157</v>
      </c>
      <c r="X28" s="109">
        <v>1981.3164360000001</v>
      </c>
      <c r="Y28" s="110">
        <v>13660.749</v>
      </c>
    </row>
    <row r="29" spans="3:25" x14ac:dyDescent="0.25">
      <c r="C29" s="1"/>
      <c r="D29" s="1"/>
      <c r="E29" s="1"/>
      <c r="F29" s="1"/>
      <c r="G29" s="1"/>
      <c r="H29" s="46"/>
      <c r="I29" s="46"/>
      <c r="J29" s="1"/>
    </row>
    <row r="30" spans="3:25" x14ac:dyDescent="0.25">
      <c r="C30" s="1"/>
      <c r="D30" s="1"/>
      <c r="E30" s="1"/>
      <c r="F30" s="1"/>
      <c r="G30" s="1"/>
      <c r="H30" s="46"/>
      <c r="I30" s="46"/>
      <c r="J30" s="1"/>
    </row>
    <row r="31" spans="3:25" x14ac:dyDescent="0.25">
      <c r="C31" s="1"/>
      <c r="D31" s="1"/>
      <c r="E31" s="1"/>
      <c r="F31" s="1"/>
      <c r="G31" s="1"/>
      <c r="H31" s="46"/>
      <c r="I31" s="46"/>
      <c r="J31" s="1"/>
    </row>
    <row r="32" spans="3:25" x14ac:dyDescent="0.25">
      <c r="C32" s="1"/>
      <c r="D32" s="1"/>
      <c r="E32" s="1"/>
      <c r="F32" s="1"/>
      <c r="G32" s="1"/>
      <c r="H32" s="46"/>
      <c r="I32" s="46"/>
      <c r="J32" s="1"/>
    </row>
    <row r="33" spans="3:10" x14ac:dyDescent="0.25">
      <c r="C33" s="1"/>
      <c r="D33" s="1"/>
      <c r="E33" s="1"/>
      <c r="F33" s="1"/>
      <c r="G33" s="1"/>
      <c r="H33" s="46"/>
      <c r="I33" s="46"/>
      <c r="J33" s="1"/>
    </row>
    <row r="34" spans="3:10" x14ac:dyDescent="0.25">
      <c r="C34" s="1"/>
      <c r="D34" s="1"/>
      <c r="E34" s="1"/>
      <c r="F34" s="1"/>
      <c r="G34" s="1"/>
      <c r="H34" s="46"/>
      <c r="I34" s="46"/>
      <c r="J34" s="1"/>
    </row>
    <row r="35" spans="3:10" x14ac:dyDescent="0.25">
      <c r="C35" s="1"/>
      <c r="D35" s="1"/>
      <c r="E35" s="1"/>
      <c r="F35" s="1"/>
      <c r="G35" s="1"/>
      <c r="H35" s="46"/>
      <c r="I35" s="46"/>
      <c r="J35" s="1"/>
    </row>
    <row r="36" spans="3:10" x14ac:dyDescent="0.25">
      <c r="C36" s="1"/>
      <c r="D36" s="1"/>
      <c r="E36" s="1"/>
      <c r="F36" s="1"/>
      <c r="G36" s="1"/>
      <c r="H36" s="46"/>
      <c r="I36" s="46"/>
      <c r="J36" s="1"/>
    </row>
    <row r="37" spans="3:10" x14ac:dyDescent="0.25">
      <c r="C37" s="1"/>
      <c r="D37" s="1"/>
      <c r="E37" s="1"/>
      <c r="F37" s="1"/>
      <c r="G37" s="1"/>
      <c r="H37" s="46"/>
      <c r="I37" s="46"/>
      <c r="J37" s="1"/>
    </row>
    <row r="38" spans="3:10" x14ac:dyDescent="0.25">
      <c r="C38" s="1"/>
      <c r="D38" s="1"/>
      <c r="E38" s="1"/>
      <c r="F38" s="1"/>
      <c r="G38" s="1"/>
      <c r="H38" s="46"/>
      <c r="I38" s="46"/>
      <c r="J38" s="1"/>
    </row>
    <row r="39" spans="3:10" x14ac:dyDescent="0.25">
      <c r="C39" s="1"/>
      <c r="D39" s="1"/>
      <c r="E39" s="1"/>
      <c r="F39" s="1"/>
      <c r="G39" s="1"/>
      <c r="H39" s="46"/>
      <c r="I39" s="46"/>
      <c r="J39" s="1"/>
    </row>
    <row r="40" spans="3:10" x14ac:dyDescent="0.25">
      <c r="C40" s="1"/>
      <c r="D40" s="1"/>
      <c r="E40" s="1"/>
      <c r="F40" s="1"/>
      <c r="G40" s="1"/>
      <c r="H40" s="46"/>
      <c r="I40" s="46"/>
      <c r="J40" s="1"/>
    </row>
    <row r="41" spans="3:10" x14ac:dyDescent="0.25">
      <c r="I41" s="46"/>
      <c r="J41" s="1"/>
    </row>
  </sheetData>
  <sortState xmlns:xlrd2="http://schemas.microsoft.com/office/spreadsheetml/2017/richdata2" ref="O3:S18">
    <sortCondition descending="1" ref="Q3:Q18"/>
  </sortState>
  <mergeCells count="1">
    <mergeCell ref="A7:J7"/>
  </mergeCells>
  <pageMargins left="0.7" right="0.7" top="0.75" bottom="0.75" header="0.3" footer="0.3"/>
  <pageSetup orientation="portrait" verticalDpi="598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Appendix H SEA 2020</vt:lpstr>
      <vt:lpstr>2020 Regression</vt:lpstr>
      <vt:lpstr>Appendix I SEA 2020</vt:lpstr>
      <vt:lpstr>Appendix J SEA 2020</vt:lpstr>
      <vt:lpstr>Appendix J 2 SEA 2020</vt:lpstr>
      <vt:lpstr>Appendix K 2020</vt:lpstr>
      <vt:lpstr>'Appendix H SEA 2020'!Print_Area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2021-10-12T21:06:26Z</dcterms:modified>
</cp:coreProperties>
</file>