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workbookProtection workbookAlgorithmName="SHA-512" workbookHashValue="H2VRBIxlWTJC8+L3VmlGS4xgzsYU/1MstudOG1ihQnseFdtTNqmeL0diZqBaVjWGSOFP1tMPblTXEFK6i3VCqw==" workbookSaltValue="Az1xuk+A/Zo8d2X1/rBSzg==" workbookSpinCount="100000" lockStructure="1"/>
  <bookViews>
    <workbookView xWindow="240" yWindow="228" windowWidth="14808" windowHeight="7896" tabRatio="932"/>
  </bookViews>
  <sheets>
    <sheet name="Appendix L TERM 2019" sheetId="34" r:id="rId1"/>
    <sheet name="Appendix M TERM 2019" sheetId="33" r:id="rId2"/>
    <sheet name="2019 Regression" sheetId="43" state="hidden" r:id="rId3"/>
    <sheet name="Appendix N TERM 2019" sheetId="31" r:id="rId4"/>
    <sheet name="Appendix O TERM 2019" sheetId="30" r:id="rId5"/>
    <sheet name="Appendix P TERM 2019" sheetId="29" r:id="rId6"/>
    <sheet name="Appendix Q" sheetId="44" r:id="rId7"/>
    <sheet name="Appendix R" sheetId="45" r:id="rId8"/>
  </sheets>
  <definedNames>
    <definedName name="_xlnm.Print_Area" localSheetId="1">'Appendix M TERM 2019'!$B$2:$N$30</definedName>
    <definedName name="_xlnm.Print_Area" localSheetId="5">'Appendix P TERM 2019'!$A$1:$N$71</definedName>
    <definedName name="_xlnm.Print_Titles" localSheetId="5">'Appendix P TERM 2019'!$1:$4</definedName>
  </definedNames>
  <calcPr calcId="171027" fullPrecision="0"/>
</workbook>
</file>

<file path=xl/calcChain.xml><?xml version="1.0" encoding="utf-8"?>
<calcChain xmlns="http://schemas.openxmlformats.org/spreadsheetml/2006/main">
  <c r="E9" i="29" l="1"/>
  <c r="N33" i="30"/>
  <c r="G34" i="45" l="1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L33" i="30" l="1"/>
  <c r="M33" i="30"/>
  <c r="L17" i="30"/>
  <c r="I17" i="30" l="1"/>
  <c r="H17" i="30"/>
  <c r="E17" i="30"/>
  <c r="N17" i="29" l="1"/>
  <c r="L24" i="30"/>
  <c r="N24" i="30" s="1"/>
  <c r="I31" i="30"/>
  <c r="H31" i="30"/>
  <c r="F14" i="30"/>
  <c r="F31" i="30"/>
  <c r="G14" i="30" l="1"/>
  <c r="J14" i="30" s="1"/>
  <c r="K14" i="30" s="1"/>
  <c r="L14" i="30" s="1"/>
  <c r="N14" i="30" s="1"/>
  <c r="G15" i="30"/>
  <c r="J15" i="30" s="1"/>
  <c r="K15" i="30" s="1"/>
  <c r="L15" i="30" s="1"/>
  <c r="N15" i="30" s="1"/>
  <c r="G16" i="30"/>
  <c r="J16" i="30" s="1"/>
  <c r="K16" i="30" s="1"/>
  <c r="L16" i="30" s="1"/>
  <c r="N16" i="30" s="1"/>
  <c r="G17" i="30"/>
  <c r="J17" i="30" s="1"/>
  <c r="K17" i="30" s="1"/>
  <c r="G18" i="30"/>
  <c r="J18" i="30" s="1"/>
  <c r="K18" i="30" s="1"/>
  <c r="L18" i="30" s="1"/>
  <c r="N18" i="30" s="1"/>
  <c r="G19" i="30"/>
  <c r="J19" i="30" s="1"/>
  <c r="K19" i="30" s="1"/>
  <c r="L19" i="30" s="1"/>
  <c r="N19" i="30" s="1"/>
  <c r="G20" i="30"/>
  <c r="J20" i="30" s="1"/>
  <c r="K20" i="30" s="1"/>
  <c r="L20" i="30" s="1"/>
  <c r="N20" i="30" s="1"/>
  <c r="G21" i="30"/>
  <c r="J21" i="30" s="1"/>
  <c r="K21" i="30" s="1"/>
  <c r="L21" i="30" s="1"/>
  <c r="N21" i="30" s="1"/>
  <c r="G22" i="30"/>
  <c r="J22" i="30" s="1"/>
  <c r="K22" i="30" s="1"/>
  <c r="L22" i="30" s="1"/>
  <c r="N22" i="30" s="1"/>
  <c r="G23" i="30"/>
  <c r="J23" i="30" s="1"/>
  <c r="K23" i="30" s="1"/>
  <c r="L23" i="30" s="1"/>
  <c r="N23" i="30" s="1"/>
  <c r="G24" i="30"/>
  <c r="J24" i="30" s="1"/>
  <c r="K24" i="30" s="1"/>
  <c r="G25" i="30"/>
  <c r="J25" i="30" s="1"/>
  <c r="K25" i="30" s="1"/>
  <c r="L25" i="30" s="1"/>
  <c r="N25" i="30" s="1"/>
  <c r="G26" i="30"/>
  <c r="J26" i="30" s="1"/>
  <c r="K26" i="30" s="1"/>
  <c r="L26" i="30" s="1"/>
  <c r="N26" i="30" s="1"/>
  <c r="G27" i="30"/>
  <c r="J27" i="30" s="1"/>
  <c r="K27" i="30" s="1"/>
  <c r="L27" i="30" s="1"/>
  <c r="N27" i="30" s="1"/>
  <c r="G28" i="30"/>
  <c r="J28" i="30" s="1"/>
  <c r="K28" i="30" s="1"/>
  <c r="L28" i="30" s="1"/>
  <c r="N28" i="30" s="1"/>
  <c r="G29" i="30"/>
  <c r="J29" i="30" s="1"/>
  <c r="K29" i="30" s="1"/>
  <c r="L29" i="30" s="1"/>
  <c r="N29" i="30" s="1"/>
  <c r="G30" i="30"/>
  <c r="J30" i="30" s="1"/>
  <c r="K30" i="30" s="1"/>
  <c r="L30" i="30" s="1"/>
  <c r="N30" i="30" s="1"/>
  <c r="G31" i="30"/>
  <c r="J31" i="30" s="1"/>
  <c r="K31" i="30" s="1"/>
  <c r="L31" i="30" s="1"/>
  <c r="N31" i="30" s="1"/>
  <c r="G32" i="30"/>
  <c r="J32" i="30" s="1"/>
  <c r="K32" i="30" s="1"/>
  <c r="L32" i="30" s="1"/>
  <c r="N32" i="30" s="1"/>
  <c r="E39" i="29"/>
  <c r="G38" i="29"/>
  <c r="G37" i="29"/>
  <c r="G39" i="29" s="1"/>
  <c r="G35" i="29"/>
  <c r="L46" i="29"/>
  <c r="N45" i="29"/>
  <c r="N46" i="29" s="1"/>
  <c r="L19" i="29"/>
  <c r="L15" i="29"/>
  <c r="N14" i="29"/>
  <c r="N15" i="29" s="1"/>
  <c r="E59" i="29"/>
  <c r="E20" i="29"/>
  <c r="G16" i="29"/>
  <c r="G15" i="29"/>
  <c r="G14" i="29"/>
  <c r="G13" i="29"/>
  <c r="E12" i="29"/>
  <c r="E17" i="29" s="1"/>
  <c r="L59" i="29"/>
  <c r="N58" i="29"/>
  <c r="N57" i="29"/>
  <c r="N56" i="29"/>
  <c r="N59" i="29" l="1"/>
  <c r="N17" i="30" l="1"/>
  <c r="E61" i="29" l="1"/>
  <c r="G60" i="29"/>
  <c r="G59" i="29"/>
  <c r="G61" i="29" l="1"/>
  <c r="N38" i="29" l="1"/>
  <c r="N37" i="29"/>
  <c r="N36" i="29"/>
  <c r="N24" i="29"/>
  <c r="N11" i="29" l="1"/>
  <c r="N10" i="29"/>
  <c r="N9" i="29"/>
  <c r="N8" i="29"/>
  <c r="N7" i="29"/>
  <c r="G51" i="29"/>
  <c r="G50" i="29"/>
  <c r="G49" i="29"/>
  <c r="G48" i="29"/>
  <c r="G31" i="29"/>
  <c r="G21" i="31" l="1"/>
  <c r="D21" i="31"/>
  <c r="G20" i="31" l="1"/>
  <c r="G19" i="31"/>
  <c r="G18" i="31"/>
  <c r="G17" i="31"/>
  <c r="G16" i="31"/>
  <c r="G15" i="31"/>
  <c r="G14" i="31"/>
  <c r="G13" i="31"/>
  <c r="G12" i="31"/>
  <c r="E46" i="29"/>
  <c r="G41" i="29"/>
  <c r="H12" i="31" l="1"/>
  <c r="G18" i="33" s="1"/>
  <c r="I18" i="33" s="1"/>
  <c r="G13" i="30"/>
  <c r="K18" i="33" l="1"/>
  <c r="M18" i="33" s="1"/>
  <c r="D13" i="34" s="1"/>
  <c r="F13" i="34" s="1"/>
  <c r="J13" i="34" s="1"/>
  <c r="J13" i="30"/>
  <c r="K13" i="30" l="1"/>
  <c r="L13" i="30" s="1"/>
  <c r="L53" i="29"/>
  <c r="N52" i="29"/>
  <c r="N51" i="29"/>
  <c r="N50" i="29"/>
  <c r="N49" i="29"/>
  <c r="L43" i="29"/>
  <c r="N42" i="29"/>
  <c r="N41" i="29"/>
  <c r="L39" i="29"/>
  <c r="L34" i="29"/>
  <c r="N33" i="29"/>
  <c r="N32" i="29"/>
  <c r="N30" i="29"/>
  <c r="L27" i="29"/>
  <c r="N26" i="29"/>
  <c r="N25" i="29"/>
  <c r="N23" i="29"/>
  <c r="N22" i="29"/>
  <c r="N18" i="29"/>
  <c r="N19" i="29" s="1"/>
  <c r="L12" i="29"/>
  <c r="E57" i="29"/>
  <c r="G56" i="29"/>
  <c r="G55" i="29"/>
  <c r="G54" i="29"/>
  <c r="E52" i="29"/>
  <c r="G45" i="29"/>
  <c r="G44" i="29"/>
  <c r="G43" i="29"/>
  <c r="G42" i="29"/>
  <c r="E33" i="29"/>
  <c r="G32" i="29"/>
  <c r="G30" i="29"/>
  <c r="G29" i="29"/>
  <c r="G28" i="29"/>
  <c r="E26" i="29"/>
  <c r="G25" i="29"/>
  <c r="G24" i="29"/>
  <c r="G23" i="29"/>
  <c r="G22" i="29"/>
  <c r="G21" i="29"/>
  <c r="G20" i="29"/>
  <c r="G12" i="29"/>
  <c r="G17" i="29" s="1"/>
  <c r="G8" i="29"/>
  <c r="G7" i="29"/>
  <c r="N13" i="30" l="1"/>
  <c r="N53" i="29"/>
  <c r="N43" i="29"/>
  <c r="G46" i="29"/>
  <c r="G57" i="29"/>
  <c r="N34" i="29"/>
  <c r="N12" i="29"/>
  <c r="N39" i="29"/>
  <c r="G52" i="29"/>
  <c r="N27" i="29"/>
  <c r="G33" i="29"/>
  <c r="G26" i="29"/>
  <c r="G9" i="29" l="1"/>
</calcChain>
</file>

<file path=xl/sharedStrings.xml><?xml version="1.0" encoding="utf-8"?>
<sst xmlns="http://schemas.openxmlformats.org/spreadsheetml/2006/main" count="415" uniqueCount="284">
  <si>
    <t>Bering</t>
  </si>
  <si>
    <t>Hageland</t>
  </si>
  <si>
    <t>Iliamna</t>
  </si>
  <si>
    <t>Pacific</t>
  </si>
  <si>
    <t>Smokey</t>
  </si>
  <si>
    <t>Spernak</t>
  </si>
  <si>
    <t>Wright</t>
  </si>
  <si>
    <t>Indirects</t>
  </si>
  <si>
    <t>Operating</t>
  </si>
  <si>
    <t>Departure</t>
  </si>
  <si>
    <t>Capacity</t>
  </si>
  <si>
    <t>Oper. Less</t>
  </si>
  <si>
    <t>Carrier</t>
  </si>
  <si>
    <t>-1-</t>
  </si>
  <si>
    <t>-2-</t>
  </si>
  <si>
    <t>-3-</t>
  </si>
  <si>
    <t>-4-</t>
  </si>
  <si>
    <t>-5-</t>
  </si>
  <si>
    <t>-6-</t>
  </si>
  <si>
    <t>-7-</t>
  </si>
  <si>
    <t>#3 less #4</t>
  </si>
  <si>
    <t>#1 plus #2</t>
  </si>
  <si>
    <t>Markup</t>
  </si>
  <si>
    <t>-8-</t>
  </si>
  <si>
    <t>Adjusted</t>
  </si>
  <si>
    <t>#5 x #7</t>
  </si>
  <si>
    <t>Total</t>
  </si>
  <si>
    <t>.</t>
  </si>
  <si>
    <t>Wtd. Deps.</t>
  </si>
  <si>
    <t>$/Dep.</t>
  </si>
  <si>
    <t>Wtd.</t>
  </si>
  <si>
    <t>-9-</t>
  </si>
  <si>
    <t>-10-</t>
  </si>
  <si>
    <t>#4 ÷ #6</t>
  </si>
  <si>
    <t>Terminal</t>
  </si>
  <si>
    <t>2-Ltr.</t>
  </si>
  <si>
    <t>A/C</t>
  </si>
  <si>
    <t>Deps.</t>
  </si>
  <si>
    <t>GTOW</t>
  </si>
  <si>
    <t>Wtd. Deps</t>
  </si>
  <si>
    <t>40-Mile Air</t>
  </si>
  <si>
    <t>Q5</t>
  </si>
  <si>
    <t>X4</t>
  </si>
  <si>
    <t>J5</t>
  </si>
  <si>
    <t>7S</t>
  </si>
  <si>
    <t>Bering Air Inc.</t>
  </si>
  <si>
    <t>8E</t>
  </si>
  <si>
    <t>Grant Aviation</t>
  </si>
  <si>
    <t>GV</t>
  </si>
  <si>
    <t>H6</t>
  </si>
  <si>
    <t>Iliamna Air Taxi</t>
  </si>
  <si>
    <t>V8</t>
  </si>
  <si>
    <t>Island Air Service</t>
  </si>
  <si>
    <t>2O</t>
  </si>
  <si>
    <t>Pacific Airways, Inc.</t>
  </si>
  <si>
    <t>3F</t>
  </si>
  <si>
    <t>KS</t>
  </si>
  <si>
    <t>Z3</t>
  </si>
  <si>
    <t>2E</t>
  </si>
  <si>
    <t>Spernak Airways Inc.</t>
  </si>
  <si>
    <t>SNK</t>
  </si>
  <si>
    <t>Tanana Air Service</t>
  </si>
  <si>
    <t>K3</t>
  </si>
  <si>
    <t>4W</t>
  </si>
  <si>
    <t>8V</t>
  </si>
  <si>
    <t xml:space="preserve">PenAir </t>
  </si>
  <si>
    <t>Actual Y</t>
  </si>
  <si>
    <t>Natural Log</t>
  </si>
  <si>
    <t>Predicted Y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</si>
  <si>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</si>
  <si>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</si>
  <si>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</si>
  <si>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</si>
  <si>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</si>
  <si>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</si>
  <si>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</si>
  <si>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</si>
  <si>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</si>
  <si>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</si>
  <si>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</si>
  <si>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</si>
  <si>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</si>
  <si>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</si>
  <si>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</si>
  <si>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</si>
  <si>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</si>
  <si>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</si>
  <si>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Residuals</t>
  </si>
  <si>
    <t>Predicted</t>
  </si>
  <si>
    <t>Increase</t>
  </si>
  <si>
    <t>Page 1 of 2</t>
  </si>
  <si>
    <t>Page 2 of 2</t>
  </si>
  <si>
    <t>INTRA-ALASKA MAIL CLASS RATES COST ADJUSTMENT FACTORS</t>
  </si>
  <si>
    <t>Unit Cost</t>
  </si>
  <si>
    <t>Per Wtd. Dep.</t>
  </si>
  <si>
    <t>Base Year</t>
  </si>
  <si>
    <t xml:space="preserve">Ended </t>
  </si>
  <si>
    <t xml:space="preserve">Average Annual </t>
  </si>
  <si>
    <t xml:space="preserve">Change </t>
  </si>
  <si>
    <t>Midpoint to</t>
  </si>
  <si>
    <t>Midpoint</t>
  </si>
  <si>
    <t>Change</t>
  </si>
  <si>
    <t>Estimated</t>
  </si>
  <si>
    <t>Unit Cost at</t>
  </si>
  <si>
    <t>Base Year to</t>
  </si>
  <si>
    <t>1/</t>
  </si>
  <si>
    <t>2/</t>
  </si>
  <si>
    <t>3/</t>
  </si>
  <si>
    <t>4/</t>
  </si>
  <si>
    <t>5/</t>
  </si>
  <si>
    <t>6/</t>
  </si>
  <si>
    <t>1/ Attachment D, Appendix D, Order 2007-12-19.</t>
  </si>
  <si>
    <t>Rates</t>
  </si>
  <si>
    <t>Adjustment</t>
  </si>
  <si>
    <t>Factors</t>
  </si>
  <si>
    <t>Proposed</t>
  </si>
  <si>
    <t>Final Rates</t>
  </si>
  <si>
    <t>Current Rate,</t>
  </si>
  <si>
    <t xml:space="preserve">Change from </t>
  </si>
  <si>
    <t>Prior Rate</t>
  </si>
  <si>
    <t>3/ Column (1) increased by Column (2).</t>
  </si>
  <si>
    <t xml:space="preserve">4/ Reflects the fact that from the mid-point of the reporting period to the mid-point of the prospective rate is </t>
  </si>
  <si>
    <t>Al. Seaplane</t>
  </si>
  <si>
    <t xml:space="preserve">Grant </t>
  </si>
  <si>
    <t>t Stat</t>
  </si>
  <si>
    <t>PenAir, Bush</t>
  </si>
  <si>
    <t>PenAir, Total</t>
  </si>
  <si>
    <t>40-Mile Air, Total</t>
  </si>
  <si>
    <t>Air Excursion, Total</t>
  </si>
  <si>
    <t xml:space="preserve">Alaska Seaplane </t>
  </si>
  <si>
    <t>Alaska Seaplane, Total</t>
  </si>
  <si>
    <t>Bering, Total</t>
  </si>
  <si>
    <t>Grant, Total</t>
  </si>
  <si>
    <t>Hageland, Total</t>
  </si>
  <si>
    <t>Iliamna, Total</t>
  </si>
  <si>
    <t>Pacific, Total</t>
  </si>
  <si>
    <t>Wright, Total</t>
  </si>
  <si>
    <t>Hageland Aviation</t>
  </si>
  <si>
    <t>Warbelow, Total</t>
  </si>
  <si>
    <t>Smokey Bay, Total</t>
  </si>
  <si>
    <t>Spernak, Total</t>
  </si>
  <si>
    <t>Tanana, Total</t>
  </si>
  <si>
    <t xml:space="preserve">Wright Air </t>
  </si>
  <si>
    <t>Total -- Reflects only the adjusted amount.</t>
  </si>
  <si>
    <t>Standard Error</t>
  </si>
  <si>
    <t>Change 2004</t>
  </si>
  <si>
    <t>Warbelow</t>
  </si>
  <si>
    <t>Adjusted R Square</t>
  </si>
  <si>
    <t>Island Air Svc.</t>
  </si>
  <si>
    <t>I4</t>
  </si>
  <si>
    <t>Island Air Exp.</t>
  </si>
  <si>
    <t>Appendix Q</t>
  </si>
  <si>
    <t>Appendix R</t>
  </si>
  <si>
    <t xml:space="preserve">3/ See "predicted annual increase" in Appendix S, Page 1 of 2. </t>
  </si>
  <si>
    <t>2/ Appendix T to this Order, Column 10.</t>
  </si>
  <si>
    <t>Taquan</t>
  </si>
  <si>
    <t>Taquan, Total</t>
  </si>
  <si>
    <t>SUMMARY OUTPUT</t>
  </si>
  <si>
    <t>Lower 95.0%</t>
  </si>
  <si>
    <t>Upper 95.0%</t>
  </si>
  <si>
    <t>RESIDUAL OUTPUT</t>
  </si>
  <si>
    <t>Observation</t>
  </si>
  <si>
    <t>Island Air Express</t>
  </si>
  <si>
    <t>Ryan Air</t>
  </si>
  <si>
    <t>ELL</t>
  </si>
  <si>
    <t>5V</t>
  </si>
  <si>
    <t>Ryan Air, Total</t>
  </si>
  <si>
    <t>Island Air Service, Total</t>
  </si>
  <si>
    <t>Island Air Express, Total</t>
  </si>
  <si>
    <t>for a 12-month period.</t>
  </si>
  <si>
    <t>Essential Air Service carriers such as Ellis Air Taxi, Ward Air, and Harris Air do not submit financial data to the Department, therefore are not included)</t>
  </si>
  <si>
    <t>(Internal Note: carrier list is updated to match all carriers in 1% eligibility list, regardless if they meet the eligibility threshold for inclusion in the linehaul ratemaking)</t>
  </si>
  <si>
    <t>YE</t>
  </si>
  <si>
    <t>Percent</t>
  </si>
  <si>
    <t>$/RTM</t>
  </si>
  <si>
    <t>EXP(Y)</t>
  </si>
  <si>
    <t>Annual</t>
  </si>
  <si>
    <t>Directs 2/</t>
  </si>
  <si>
    <t>1/ Per Order 2005-1-18.</t>
  </si>
  <si>
    <t>2/ See Appendix R, Column 6.</t>
  </si>
  <si>
    <t>Regression Analysis of the Terminal Unit Cost per RTM</t>
  </si>
  <si>
    <t>Year-</t>
  </si>
  <si>
    <t>Ended</t>
  </si>
  <si>
    <r>
      <t xml:space="preserve">Year Ended September 30, </t>
    </r>
    <r>
      <rPr>
        <u/>
        <sz val="11"/>
        <color rgb="FFFF0000"/>
        <rFont val="Times New Roman"/>
        <family val="1"/>
      </rPr>
      <t>2019</t>
    </r>
  </si>
  <si>
    <t>Yute Commuter Service</t>
  </si>
  <si>
    <t>Yute, Total</t>
  </si>
  <si>
    <t>Ellis Air Taxi</t>
  </si>
  <si>
    <t>Everts Air Alaska/Cargo</t>
  </si>
  <si>
    <t>Everts, Total</t>
  </si>
  <si>
    <t>Everts Air/Cargo</t>
  </si>
  <si>
    <t>Tanana</t>
  </si>
  <si>
    <t>Yute</t>
  </si>
  <si>
    <t xml:space="preserve">Air Excursions </t>
  </si>
  <si>
    <t>Air Excursions</t>
  </si>
  <si>
    <r>
      <t xml:space="preserve">Schedule F-2 Expenses, Year Ended September 30, </t>
    </r>
    <r>
      <rPr>
        <sz val="11"/>
        <color rgb="FFFF0000"/>
        <rFont val="Times New Roman"/>
        <family val="1"/>
      </rPr>
      <t>2019</t>
    </r>
  </si>
  <si>
    <t>YE 6/30/09</t>
  </si>
  <si>
    <r>
      <rPr>
        <u/>
        <sz val="11"/>
        <rFont val="Times New Roman"/>
        <family val="1"/>
      </rPr>
      <t>to YE</t>
    </r>
    <r>
      <rPr>
        <u/>
        <sz val="11"/>
        <color rgb="FFFF0000"/>
        <rFont val="Times New Roman"/>
        <family val="1"/>
      </rPr>
      <t xml:space="preserve"> 9/30/19</t>
    </r>
  </si>
  <si>
    <r>
      <t xml:space="preserve">2 years.  </t>
    </r>
    <r>
      <rPr>
        <sz val="11"/>
        <color rgb="FFFF0000"/>
        <rFont val="Times New Roman"/>
        <family val="1"/>
      </rPr>
      <t>1.0708 x 1.0708 = 1.1466</t>
    </r>
    <r>
      <rPr>
        <sz val="11"/>
        <color theme="1"/>
        <rFont val="Times New Roman"/>
        <family val="1"/>
      </rPr>
      <t xml:space="preserve">, where </t>
    </r>
    <r>
      <rPr>
        <sz val="11"/>
        <color rgb="FFFF0000"/>
        <rFont val="Times New Roman"/>
        <family val="1"/>
      </rPr>
      <t>1.0708</t>
    </r>
    <r>
      <rPr>
        <sz val="11"/>
        <color theme="1"/>
        <rFont val="Times New Roman"/>
        <family val="1"/>
      </rPr>
      <t xml:space="preserve"> is the average annual unit cost increase projected </t>
    </r>
  </si>
  <si>
    <r>
      <t xml:space="preserve">5/ </t>
    </r>
    <r>
      <rPr>
        <sz val="11"/>
        <color rgb="FFFF0000"/>
        <rFont val="Times New Roman"/>
        <family val="1"/>
      </rPr>
      <t>$20.86</t>
    </r>
    <r>
      <rPr>
        <sz val="11"/>
        <color theme="1"/>
        <rFont val="Times New Roman"/>
        <family val="1"/>
      </rPr>
      <t xml:space="preserve"> in Column 2 increased by 13.47 percent in Column 4.</t>
    </r>
  </si>
  <si>
    <r>
      <t xml:space="preserve">6/ </t>
    </r>
    <r>
      <rPr>
        <sz val="11"/>
        <color rgb="FFFF0000"/>
        <rFont val="Times New Roman"/>
        <family val="1"/>
      </rPr>
      <t>$23.92</t>
    </r>
    <r>
      <rPr>
        <sz val="11"/>
        <color theme="1"/>
        <rFont val="Times New Roman"/>
        <family val="1"/>
      </rPr>
      <t xml:space="preserve"> in Column 5 ÷ $9.77 in Column 1, the base year.</t>
    </r>
  </si>
  <si>
    <t>Everts was excluded from the terminal rate calculation as there was insufficient breakdown of Indirect, Capacity, and Departure-related expenses by aircraft</t>
  </si>
  <si>
    <t>type.  The data was left in to show an attempt at extrapolating data, which resulted in an abnormally high weighted cost per departure.</t>
  </si>
  <si>
    <r>
      <t xml:space="preserve">Order </t>
    </r>
    <r>
      <rPr>
        <u/>
        <sz val="11"/>
        <color rgb="FFFF0000"/>
        <rFont val="Times New Roman"/>
        <family val="1"/>
      </rPr>
      <t>2020-6-15</t>
    </r>
  </si>
  <si>
    <r>
      <t xml:space="preserve">4/ </t>
    </r>
    <r>
      <rPr>
        <sz val="11"/>
        <color rgb="FFFF0000"/>
        <rFont val="Times New Roman"/>
        <family val="1"/>
      </rPr>
      <t>$1,532.27 ÷ $1,420.80.</t>
    </r>
    <r>
      <rPr>
        <sz val="11"/>
        <color theme="1"/>
        <rFont val="Times New Roman"/>
        <family val="1"/>
      </rPr>
      <t xml:space="preserve">  </t>
    </r>
  </si>
  <si>
    <r>
      <t xml:space="preserve">Determination of Terminal Rate, Rate per Revenue Ton Enplaned, YE </t>
    </r>
    <r>
      <rPr>
        <sz val="11"/>
        <color rgb="FFFF0000"/>
        <rFont val="Times New Roman"/>
        <family val="1"/>
      </rPr>
      <t>9-30-19</t>
    </r>
  </si>
  <si>
    <t>Appendix L</t>
  </si>
  <si>
    <t>Appendix M</t>
  </si>
  <si>
    <t>Appendix N</t>
  </si>
  <si>
    <t>Appendix O</t>
  </si>
  <si>
    <t>Appendix P</t>
  </si>
  <si>
    <t>Aircraft Type Table</t>
  </si>
  <si>
    <t>AC TYPE</t>
  </si>
  <si>
    <t>LONG NAME</t>
  </si>
  <si>
    <t>MANUFACTURER</t>
  </si>
  <si>
    <t>SHORT NAME</t>
  </si>
  <si>
    <t>BEECH 35/36</t>
  </si>
  <si>
    <t>BEECHCRAFT</t>
  </si>
  <si>
    <t>BONANZA</t>
  </si>
  <si>
    <t>GIPPS AERO GA8 AIR</t>
  </si>
  <si>
    <t>GIPPS AERO</t>
  </si>
  <si>
    <t>AIRVAN</t>
  </si>
  <si>
    <t>CESSNA 180A/B</t>
  </si>
  <si>
    <t>CESSNA</t>
  </si>
  <si>
    <t>CE-180</t>
  </si>
  <si>
    <t>CESSNA 185A/B/C</t>
  </si>
  <si>
    <t>SKYWAGON</t>
  </si>
  <si>
    <t>CESSNA 206/207/209</t>
  </si>
  <si>
    <t>CE-206/7</t>
  </si>
  <si>
    <t>CESSNA 172 SKYHAWK</t>
  </si>
  <si>
    <t>SKYHAWK</t>
  </si>
  <si>
    <t>DEHAVILLAND DHC2</t>
  </si>
  <si>
    <t>DEHAVILLAND OF CANADA</t>
  </si>
  <si>
    <t>BEAVER</t>
  </si>
  <si>
    <t>DEHAVILLAND DHC3</t>
  </si>
  <si>
    <t>OTTER</t>
  </si>
  <si>
    <t>PIPER PA-32</t>
  </si>
  <si>
    <t>PIPER</t>
  </si>
  <si>
    <t>PA-32</t>
  </si>
  <si>
    <t>BRITT-NORMAN BN2/A</t>
  </si>
  <si>
    <t>PILATUS BRITTEN-NORMAN</t>
  </si>
  <si>
    <t>ISLANDER</t>
  </si>
  <si>
    <t>PIPER PA-31/T-1020</t>
  </si>
  <si>
    <t>NAVAJO</t>
  </si>
  <si>
    <t>BEECH 1900 A/B/C/D</t>
  </si>
  <si>
    <t>BE-1900</t>
  </si>
  <si>
    <t>BEECH 200 KINGAIR</t>
  </si>
  <si>
    <t>KINGAIR</t>
  </si>
  <si>
    <t>CASA 212</t>
  </si>
  <si>
    <t>CONSTRUCCIONES AERONAUTICAS,SA</t>
  </si>
  <si>
    <t>C212</t>
  </si>
  <si>
    <t>CESSNA C208B</t>
  </si>
  <si>
    <t>CE-208B</t>
  </si>
  <si>
    <t>CESSNA 208</t>
  </si>
  <si>
    <t>CARAVAN</t>
  </si>
  <si>
    <t>CESSNA 406</t>
  </si>
  <si>
    <t>CARAVNII</t>
  </si>
  <si>
    <t>SAAB-FAIRCHD 340/B</t>
  </si>
  <si>
    <t>SAAB-FAIRCHILD</t>
  </si>
  <si>
    <t>SF-340/B</t>
  </si>
  <si>
    <t>PILATUS PC-12</t>
  </si>
  <si>
    <t>PILATUS</t>
  </si>
  <si>
    <t>PC-12</t>
  </si>
  <si>
    <r>
      <t xml:space="preserve">Circuity Calculation, Intra-AK Mail Revenue Ton Miles (RTMs), YE </t>
    </r>
    <r>
      <rPr>
        <sz val="12"/>
        <color rgb="FFFF0000"/>
        <rFont val="Times New Roman"/>
        <family val="1"/>
      </rPr>
      <t>9-30-19</t>
    </r>
  </si>
  <si>
    <t>Segment</t>
  </si>
  <si>
    <t>Market</t>
  </si>
  <si>
    <t>Mail RTMs</t>
  </si>
  <si>
    <t>Circuity</t>
  </si>
  <si>
    <t>Air Excursions LLC</t>
  </si>
  <si>
    <t>Alaska Seaplane Service</t>
  </si>
  <si>
    <t>Arctic Transportation</t>
  </si>
  <si>
    <t>Ellis Air Taxi Inc.</t>
  </si>
  <si>
    <t>Era Aviation</t>
  </si>
  <si>
    <t>Frontier Flying Service</t>
  </si>
  <si>
    <t>Hageland Aviation Service</t>
  </si>
  <si>
    <t>Peninsula Airways Inc.</t>
  </si>
  <si>
    <t>PM Air, LLC</t>
  </si>
  <si>
    <t>SeaPort Airlines, Inc. d/b/a Wings of Alaska</t>
  </si>
  <si>
    <t>Servant Air Inc.</t>
  </si>
  <si>
    <t>Smokey Bay Air Inc.</t>
  </si>
  <si>
    <t>Tatonduk Outfitters Limited d/b/a Everts Air Alaska and Everts Air Cargo</t>
  </si>
  <si>
    <t>Venture Travel LLC d/b/a Taquan Air Service</t>
  </si>
  <si>
    <t>Ward Air</t>
  </si>
  <si>
    <t>Wright Air Service</t>
  </si>
  <si>
    <t>Yute Air Aka Flight Alaska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</si>
</sst>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"/>
    <numFmt numFmtId="165" formatCode="&quot;$&quot;#,##0.00"/>
    <numFmt numFmtId="166" formatCode="0.0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8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u val="double"/>
      <sz val="11"/>
      <color theme="1"/>
      <name val="Times New Roman"/>
      <family val="1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name val="Times New Roman"/>
      <family val="1"/>
    </font>
    <font>
      <i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1" xfId="0" applyFont="1" applyBorder="1"/>
    <xf numFmtId="164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0" xfId="0" applyNumberFormat="1" applyFont="1"/>
    <xf numFmtId="14" fontId="4" fillId="0" borderId="0" xfId="0" quotePrefix="1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0" xfId="0" applyFont="1" applyBorder="1"/>
    <xf numFmtId="164" fontId="5" fillId="0" borderId="2" xfId="0" applyNumberFormat="1" applyFont="1" applyBorder="1" applyAlignment="1">
      <alignment horizontal="centerContinuous"/>
    </xf>
    <xf numFmtId="164" fontId="5" fillId="0" borderId="0" xfId="0" quotePrefix="1" applyNumberFormat="1" applyFont="1" applyAlignment="1">
      <alignment horizontal="center"/>
    </xf>
    <xf numFmtId="164" fontId="5" fillId="0" borderId="0" xfId="0" quotePrefix="1" applyNumberFormat="1" applyFont="1"/>
    <xf numFmtId="164" fontId="5" fillId="0" borderId="1" xfId="0" applyNumberFormat="1" applyFont="1" applyBorder="1"/>
    <xf numFmtId="10" fontId="5" fillId="0" borderId="0" xfId="0" applyNumberFormat="1" applyFont="1"/>
    <xf numFmtId="10" fontId="5" fillId="0" borderId="2" xfId="0" applyNumberFormat="1" applyFont="1" applyBorder="1" applyAlignment="1">
      <alignment horizontal="centerContinuous"/>
    </xf>
    <xf numFmtId="10" fontId="5" fillId="0" borderId="0" xfId="0" quotePrefix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quotePrefix="1" applyNumberFormat="1" applyFont="1"/>
    <xf numFmtId="10" fontId="5" fillId="0" borderId="0" xfId="0" applyNumberFormat="1" applyFont="1" applyAlignment="1">
      <alignment horizontal="right"/>
    </xf>
    <xf numFmtId="165" fontId="5" fillId="0" borderId="0" xfId="0" applyNumberFormat="1" applyFont="1"/>
    <xf numFmtId="165" fontId="5" fillId="0" borderId="0" xfId="0" applyNumberFormat="1" applyFont="1" applyBorder="1"/>
    <xf numFmtId="165" fontId="6" fillId="0" borderId="0" xfId="0" applyNumberFormat="1" applyFont="1"/>
    <xf numFmtId="165" fontId="7" fillId="0" borderId="0" xfId="0" applyNumberFormat="1" applyFont="1"/>
    <xf numFmtId="3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10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Continuous"/>
    </xf>
    <xf numFmtId="14" fontId="8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4" fontId="3" fillId="0" borderId="0" xfId="0" applyNumberFormat="1" applyFont="1"/>
    <xf numFmtId="14" fontId="8" fillId="0" borderId="0" xfId="0" applyNumberFormat="1" applyFont="1"/>
    <xf numFmtId="0" fontId="1" fillId="0" borderId="0" xfId="0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3" fontId="2" fillId="0" borderId="0" xfId="0" applyNumberFormat="1" applyFont="1" applyFill="1" applyBorder="1" applyAlignment="1">
      <alignment horizontal="centerContinuous"/>
    </xf>
    <xf numFmtId="165" fontId="5" fillId="0" borderId="0" xfId="0" quotePrefix="1" applyNumberFormat="1" applyFont="1" applyBorder="1"/>
    <xf numFmtId="0" fontId="5" fillId="0" borderId="3" xfId="0" applyFont="1" applyFill="1" applyBorder="1" applyAlignment="1"/>
    <xf numFmtId="164" fontId="5" fillId="0" borderId="0" xfId="0" applyNumberFormat="1" applyFont="1" applyAlignment="1"/>
    <xf numFmtId="9" fontId="5" fillId="0" borderId="0" xfId="1" applyNumberFormat="1" applyFont="1"/>
    <xf numFmtId="0" fontId="0" fillId="0" borderId="0" xfId="0" applyFill="1" applyBorder="1" applyAlignment="1"/>
    <xf numFmtId="0" fontId="0" fillId="0" borderId="3" xfId="0" applyFill="1" applyBorder="1" applyAlignment="1"/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/>
    </xf>
    <xf numFmtId="165" fontId="5" fillId="0" borderId="3" xfId="0" applyNumberFormat="1" applyFont="1" applyBorder="1"/>
    <xf numFmtId="0" fontId="5" fillId="0" borderId="3" xfId="0" applyFont="1" applyBorder="1"/>
    <xf numFmtId="14" fontId="4" fillId="0" borderId="0" xfId="0" applyNumberFormat="1" applyFont="1"/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10" fontId="5" fillId="0" borderId="0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centerContinuous"/>
    </xf>
    <xf numFmtId="167" fontId="5" fillId="0" borderId="0" xfId="2" applyNumberFormat="1" applyFont="1"/>
    <xf numFmtId="167" fontId="1" fillId="0" borderId="0" xfId="2" applyNumberFormat="1" applyFont="1"/>
    <xf numFmtId="167" fontId="5" fillId="0" borderId="0" xfId="2" applyNumberFormat="1" applyFont="1" applyBorder="1"/>
    <xf numFmtId="167" fontId="14" fillId="0" borderId="0" xfId="2" applyNumberFormat="1" applyFont="1" applyBorder="1"/>
    <xf numFmtId="3" fontId="4" fillId="2" borderId="0" xfId="0" applyNumberFormat="1" applyFont="1" applyFill="1"/>
    <xf numFmtId="164" fontId="5" fillId="3" borderId="0" xfId="0" applyNumberFormat="1" applyFont="1" applyFill="1"/>
    <xf numFmtId="164" fontId="5" fillId="3" borderId="0" xfId="0" applyNumberFormat="1" applyFont="1" applyFill="1" applyBorder="1"/>
    <xf numFmtId="164" fontId="5" fillId="3" borderId="0" xfId="0" applyNumberFormat="1" applyFont="1" applyFill="1" applyAlignment="1">
      <alignment horizontal="right"/>
    </xf>
    <xf numFmtId="3" fontId="5" fillId="3" borderId="0" xfId="0" applyNumberFormat="1" applyFont="1" applyFill="1"/>
    <xf numFmtId="3" fontId="6" fillId="3" borderId="0" xfId="0" applyNumberFormat="1" applyFont="1" applyFill="1"/>
    <xf numFmtId="164" fontId="6" fillId="0" borderId="0" xfId="0" applyNumberFormat="1" applyFont="1"/>
    <xf numFmtId="0" fontId="13" fillId="0" borderId="0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2" xfId="0" applyFont="1" applyBorder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17" fillId="0" borderId="0" xfId="0" applyFont="1"/>
    <xf numFmtId="0" fontId="17" fillId="0" borderId="0" xfId="0" applyFont="1" applyAlignment="1">
      <alignment horizontal="right"/>
    </xf>
    <xf numFmtId="3" fontId="15" fillId="0" borderId="0" xfId="0" applyNumberFormat="1" applyFont="1"/>
    <xf numFmtId="10" fontId="15" fillId="0" borderId="0" xfId="0" applyNumberFormat="1" applyFont="1"/>
    <xf numFmtId="3" fontId="15" fillId="0" borderId="0" xfId="0" applyNumberFormat="1" applyFont="1" applyBorder="1"/>
    <xf numFmtId="0" fontId="15" fillId="0" borderId="0" xfId="0" applyFont="1" applyBorder="1"/>
    <xf numFmtId="10" fontId="15" fillId="0" borderId="0" xfId="0" applyNumberFormat="1" applyFont="1" applyBorder="1"/>
    <xf numFmtId="10" fontId="15" fillId="2" borderId="0" xfId="0" applyNumberFormat="1" applyFont="1" applyFill="1"/>
    <xf numFmtId="0" fontId="15" fillId="0" borderId="1" xfId="0" applyFont="1" applyBorder="1"/>
    <xf numFmtId="17" fontId="15" fillId="0" borderId="0" xfId="0" applyNumberFormat="1" applyFont="1" applyAlignment="1">
      <alignment horizontal="right"/>
    </xf>
    <xf numFmtId="17" fontId="17" fillId="0" borderId="0" xfId="0" applyNumberFormat="1" applyFont="1" applyAlignment="1">
      <alignment horizontal="right"/>
    </xf>
    <xf numFmtId="3" fontId="17" fillId="0" borderId="0" xfId="0" applyNumberFormat="1" applyFo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Unit Terminal Cost per Weighted Departure, 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5966418831792369E-2"/>
                  <c:y val="0.4201767540885129"/>
                </c:manualLayout>
              </c:layout>
              <c:numFmt formatCode="General" sourceLinked="0"/>
            </c:trendlineLbl>
          </c:trendline>
          <c:xVal>
            <c:numRef>
              <c:f>'Appendix N TERM 2019'!$B$12:$B$21</c:f>
              <c:numCache>
                <c:formatCode>m/d/yyyy</c:formatCode>
                <c:ptCount val="10"/>
                <c:pt idx="0">
                  <c:v>39994</c:v>
                </c:pt>
                <c:pt idx="1">
                  <c:v>40359</c:v>
                </c:pt>
                <c:pt idx="2">
                  <c:v>41182</c:v>
                </c:pt>
                <c:pt idx="3">
                  <c:v>41547</c:v>
                </c:pt>
                <c:pt idx="4">
                  <c:v>41912</c:v>
                </c:pt>
                <c:pt idx="5">
                  <c:v>42277</c:v>
                </c:pt>
                <c:pt idx="6">
                  <c:v>42643</c:v>
                </c:pt>
                <c:pt idx="7">
                  <c:v>43008</c:v>
                </c:pt>
                <c:pt idx="8">
                  <c:v>43373</c:v>
                </c:pt>
                <c:pt idx="9">
                  <c:v>43738</c:v>
                </c:pt>
              </c:numCache>
            </c:numRef>
          </c:xVal>
          <c:yVal>
            <c:numRef>
              <c:f>'Appendix N TERM 2019'!$D$12:$D$21</c:f>
              <c:numCache>
                <c:formatCode>General</c:formatCode>
                <c:ptCount val="10"/>
                <c:pt idx="0">
                  <c:v>2.3887627892351002</c:v>
                </c:pt>
                <c:pt idx="1">
                  <c:v>2.3627390158137902</c:v>
                </c:pt>
                <c:pt idx="2">
                  <c:v>2.5281257689079801</c:v>
                </c:pt>
                <c:pt idx="3">
                  <c:v>2.5595501927837701</c:v>
                </c:pt>
                <c:pt idx="4">
                  <c:v>2.6844403354630799</c:v>
                </c:pt>
                <c:pt idx="5">
                  <c:v>2.8057816895955501</c:v>
                </c:pt>
                <c:pt idx="6">
                  <c:v>2.86391369893314</c:v>
                </c:pt>
                <c:pt idx="7">
                  <c:v>2.89646427189532</c:v>
                </c:pt>
                <c:pt idx="8">
                  <c:v>2.9338568698359002</c:v>
                </c:pt>
                <c:pt idx="9">
                  <c:v>3.0378334495726298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07-4D51-B2BA-9F32FCAC1AE1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N TERM 2019'!$B$12:$B$21</c:f>
              <c:numCache>
                <c:formatCode>m/d/yyyy</c:formatCode>
                <c:ptCount val="10"/>
                <c:pt idx="0">
                  <c:v>39994</c:v>
                </c:pt>
                <c:pt idx="1">
                  <c:v>40359</c:v>
                </c:pt>
                <c:pt idx="2">
                  <c:v>41182</c:v>
                </c:pt>
                <c:pt idx="3">
                  <c:v>41547</c:v>
                </c:pt>
                <c:pt idx="4">
                  <c:v>41912</c:v>
                </c:pt>
                <c:pt idx="5">
                  <c:v>42277</c:v>
                </c:pt>
                <c:pt idx="6">
                  <c:v>42643</c:v>
                </c:pt>
                <c:pt idx="7">
                  <c:v>43008</c:v>
                </c:pt>
                <c:pt idx="8">
                  <c:v>43373</c:v>
                </c:pt>
                <c:pt idx="9">
                  <c:v>43738</c:v>
                </c:pt>
              </c:numCache>
            </c:numRef>
          </c:xVal>
          <c:yVal>
            <c:numRef>
              <c:f>'Appendix N TERM 2019'!$E$12:$E$21</c:f>
              <c:numCache>
                <c:formatCode>General</c:formatCode>
                <c:ptCount val="10"/>
                <c:pt idx="0">
                  <c:v>2.3298188489186602</c:v>
                </c:pt>
                <c:pt idx="1">
                  <c:v>2.3981808183303999</c:v>
                </c:pt>
                <c:pt idx="2">
                  <c:v>2.5523230123738601</c:v>
                </c:pt>
                <c:pt idx="3">
                  <c:v>2.6206849817856002</c:v>
                </c:pt>
                <c:pt idx="4">
                  <c:v>2.68904695119735</c:v>
                </c:pt>
                <c:pt idx="5">
                  <c:v>2.7574089206090902</c:v>
                </c:pt>
                <c:pt idx="6">
                  <c:v>2.8259581830877099</c:v>
                </c:pt>
                <c:pt idx="7">
                  <c:v>2.89432015249945</c:v>
                </c:pt>
                <c:pt idx="8">
                  <c:v>2.9626821219111901</c:v>
                </c:pt>
                <c:pt idx="9">
                  <c:v>3.0310440913229399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07-4D51-B2BA-9F32FCAC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77920"/>
        <c:axId val="39384192"/>
      </c:scatterChart>
      <c:valAx>
        <c:axId val="39377920"/>
        <c:scaling>
          <c:orientation val="minMax"/>
          <c:max val="43800"/>
          <c:min val="397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2009, through September 30, 2019</a:t>
                </a:r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9384192"/>
        <c:crosses val="autoZero"/>
        <c:crossBetween val="midCat"/>
      </c:valAx>
      <c:valAx>
        <c:axId val="39384192"/>
        <c:scaling>
          <c:orientation val="minMax"/>
          <c:min val="2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Wtd. Departure, Natural Log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39377920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12</xdr:col>
      <xdr:colOff>7620</xdr:colOff>
      <xdr:row>41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F684DF-C8A7-4357-A94A-BFDD7C9EB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0460"/>
          <a:ext cx="6111240" cy="3512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14</xdr:col>
      <xdr:colOff>182880</xdr:colOff>
      <xdr:row>56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F7E029-1762-4CBE-8EE9-7CC507E09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4975860"/>
          <a:ext cx="6850380" cy="480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135255</xdr:rowOff>
    </xdr:from>
    <xdr:to>
      <xdr:col>20</xdr:col>
      <xdr:colOff>541020</xdr:colOff>
      <xdr:row>31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43</xdr:row>
      <xdr:rowOff>0</xdr:rowOff>
    </xdr:from>
    <xdr:to>
      <xdr:col>10</xdr:col>
      <xdr:colOff>182880</xdr:colOff>
      <xdr:row>85</xdr:row>
      <xdr:rowOff>45720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3EC9C5D-104C-483E-A080-559172FA5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7574280"/>
          <a:ext cx="7597140" cy="7406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40</xdr:row>
      <xdr:rowOff>0</xdr:rowOff>
    </xdr:from>
    <xdr:to>
      <xdr:col>22</xdr:col>
      <xdr:colOff>7620</xdr:colOff>
      <xdr:row>73</xdr:row>
      <xdr:rowOff>22860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2F58BB-B10D-4075-9609-71EDD3D96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7040880"/>
          <a:ext cx="6880860" cy="5814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14</xdr:col>
      <xdr:colOff>7620</xdr:colOff>
      <xdr:row>75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E7C4F1-B6B8-45FA-B31C-DBEE79A32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27520"/>
          <a:ext cx="9784080" cy="613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14</xdr:col>
      <xdr:colOff>7620</xdr:colOff>
      <xdr:row>124</xdr:row>
      <xdr:rowOff>30480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2F25CE-0492-4A12-A93D-C02F4A13A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64240"/>
          <a:ext cx="10431780" cy="10721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5</xdr:col>
      <xdr:colOff>99060</xdr:colOff>
      <xdr:row>47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D3CFE2-74B4-44AE-8B76-9DB18B4B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4389120"/>
          <a:ext cx="5829300" cy="421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tabSelected="1" workbookViewId="0">
      <selection activeCell="A22" sqref="A22"/>
    </sheetView>
  </sheetViews>
  <sheetFormatPr defaultColWidth="9.109375" defaultRowHeight="13.8" x14ac:dyDescent="0.25"/>
  <cols>
    <col min="1" max="1" width="4.44140625" style="24" customWidth="1"/>
    <col min="2" max="2" width="9.44140625" style="24" bestFit="1" customWidth="1"/>
    <col min="3" max="3" width="2.6640625" style="24" customWidth="1"/>
    <col min="4" max="4" width="11.44140625" style="24" bestFit="1" customWidth="1"/>
    <col min="5" max="5" width="2.6640625" style="24" customWidth="1"/>
    <col min="6" max="6" width="10.5546875" style="24" bestFit="1" customWidth="1"/>
    <col min="7" max="7" width="2.6640625" style="24" customWidth="1"/>
    <col min="8" max="8" width="18" style="24" bestFit="1" customWidth="1"/>
    <col min="9" max="9" width="2.6640625" style="24" customWidth="1"/>
    <col min="10" max="10" width="12.6640625" style="24" bestFit="1" customWidth="1"/>
    <col min="11" max="11" width="2.6640625" style="24" customWidth="1"/>
    <col min="12" max="16384" width="9.109375" style="24"/>
  </cols>
  <sheetData>
    <row r="1" spans="2:12" x14ac:dyDescent="0.25">
      <c r="L1" s="25"/>
    </row>
    <row r="2" spans="2:12" x14ac:dyDescent="0.25">
      <c r="L2" s="25" t="s">
        <v>34</v>
      </c>
    </row>
    <row r="3" spans="2:12" x14ac:dyDescent="0.25">
      <c r="L3" s="25" t="s">
        <v>205</v>
      </c>
    </row>
    <row r="5" spans="2:12" x14ac:dyDescent="0.25">
      <c r="B5" s="70" t="s">
        <v>204</v>
      </c>
      <c r="C5" s="70"/>
      <c r="D5" s="70"/>
      <c r="E5" s="70"/>
      <c r="F5" s="70"/>
      <c r="G5" s="70"/>
      <c r="H5" s="70"/>
      <c r="I5" s="70"/>
      <c r="J5" s="70"/>
      <c r="K5" s="70"/>
    </row>
    <row r="9" spans="2:12" x14ac:dyDescent="0.25">
      <c r="B9" s="69" t="s">
        <v>13</v>
      </c>
      <c r="C9" s="69"/>
      <c r="D9" s="69" t="s">
        <v>14</v>
      </c>
      <c r="E9" s="69"/>
      <c r="F9" s="69" t="s">
        <v>15</v>
      </c>
      <c r="G9" s="69"/>
      <c r="H9" s="69" t="s">
        <v>16</v>
      </c>
      <c r="I9" s="69"/>
      <c r="J9" s="69" t="s">
        <v>17</v>
      </c>
      <c r="K9" s="69"/>
      <c r="L9" s="69"/>
    </row>
    <row r="11" spans="2:12" s="25" customFormat="1" x14ac:dyDescent="0.25">
      <c r="B11" s="25" t="s">
        <v>95</v>
      </c>
      <c r="D11" s="25" t="s">
        <v>113</v>
      </c>
      <c r="F11" s="25" t="s">
        <v>115</v>
      </c>
      <c r="H11" s="25" t="s">
        <v>117</v>
      </c>
      <c r="J11" s="25" t="s">
        <v>118</v>
      </c>
    </row>
    <row r="12" spans="2:12" s="21" customFormat="1" x14ac:dyDescent="0.25">
      <c r="B12" s="21" t="s">
        <v>112</v>
      </c>
      <c r="C12" s="21" t="s">
        <v>105</v>
      </c>
      <c r="D12" s="21" t="s">
        <v>114</v>
      </c>
      <c r="E12" s="21" t="s">
        <v>106</v>
      </c>
      <c r="F12" s="21" t="s">
        <v>116</v>
      </c>
      <c r="G12" s="21" t="s">
        <v>107</v>
      </c>
      <c r="H12" s="21" t="s">
        <v>202</v>
      </c>
      <c r="J12" s="21" t="s">
        <v>119</v>
      </c>
      <c r="K12" s="21" t="s">
        <v>108</v>
      </c>
    </row>
    <row r="13" spans="2:12" x14ac:dyDescent="0.25">
      <c r="B13" s="55">
        <v>625.85</v>
      </c>
      <c r="D13" s="49">
        <f>'Appendix M TERM 2019'!M18</f>
        <v>1.4482999999999999</v>
      </c>
      <c r="F13" s="55">
        <f>(1+D13)*B13</f>
        <v>1532.27</v>
      </c>
      <c r="G13" s="55"/>
      <c r="H13" s="55">
        <v>1420.8</v>
      </c>
      <c r="J13" s="49">
        <f>F13/H13-1</f>
        <v>7.85E-2</v>
      </c>
    </row>
    <row r="14" spans="2:12" x14ac:dyDescent="0.25">
      <c r="H14" s="55"/>
    </row>
    <row r="17" spans="2:6" x14ac:dyDescent="0.25">
      <c r="B17" s="37" t="s">
        <v>178</v>
      </c>
      <c r="C17" s="37"/>
      <c r="D17" s="37"/>
      <c r="E17" s="37"/>
      <c r="F17" s="37"/>
    </row>
    <row r="18" spans="2:6" x14ac:dyDescent="0.25">
      <c r="B18" s="24" t="s">
        <v>179</v>
      </c>
    </row>
    <row r="19" spans="2:6" x14ac:dyDescent="0.25">
      <c r="B19" s="24" t="s">
        <v>120</v>
      </c>
    </row>
    <row r="20" spans="2:6" x14ac:dyDescent="0.25">
      <c r="B20" s="24" t="s">
        <v>203</v>
      </c>
    </row>
  </sheetData>
  <sheetProtection algorithmName="SHA-512" hashValue="eh0fNYND0qQpxr9nE/NhHTu6PY4c6FaVqs3PJ5uYgUbZRC+/yTenCEQFziQnBDAc01u3r11ktmCQkBSMBrTn3w==" saltValue="27RmgH67SGxxqyvKIJOjMw==" spinCount="100000" sheet="1" objects="1" scenarios="1"/>
  <pageMargins left="0.7" right="0.7" top="0.75" bottom="0.75" header="0.3" footer="0.3"/>
  <pageSetup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8"/>
  <sheetViews>
    <sheetView showGridLines="0" workbookViewId="0">
      <selection activeCell="B30" sqref="B30"/>
    </sheetView>
  </sheetViews>
  <sheetFormatPr defaultColWidth="10.88671875" defaultRowHeight="13.8" x14ac:dyDescent="0.25"/>
  <cols>
    <col min="1" max="1" width="2.5546875" style="24" customWidth="1"/>
    <col min="2" max="2" width="13.5546875" style="24" customWidth="1"/>
    <col min="3" max="3" width="10.109375" style="24" bestFit="1" customWidth="1"/>
    <col min="4" max="4" width="2.33203125" style="24" bestFit="1" customWidth="1"/>
    <col min="5" max="5" width="9.109375" style="24" bestFit="1" customWidth="1"/>
    <col min="6" max="6" width="2.33203125" style="24" bestFit="1" customWidth="1"/>
    <col min="7" max="7" width="15.5546875" style="24" bestFit="1" customWidth="1"/>
    <col min="8" max="8" width="2.33203125" style="24" bestFit="1" customWidth="1"/>
    <col min="9" max="9" width="10.44140625" style="25" bestFit="1" customWidth="1"/>
    <col min="10" max="10" width="2.33203125" style="25" bestFit="1" customWidth="1"/>
    <col min="11" max="11" width="11.109375" style="24" bestFit="1" customWidth="1"/>
    <col min="12" max="12" width="2.33203125" style="24" bestFit="1" customWidth="1"/>
    <col min="13" max="13" width="12.33203125" style="25" bestFit="1" customWidth="1"/>
    <col min="14" max="14" width="3.33203125" style="24" customWidth="1"/>
    <col min="15" max="16384" width="10.88671875" style="24"/>
  </cols>
  <sheetData>
    <row r="1" spans="3:14" x14ac:dyDescent="0.25">
      <c r="N1" s="25"/>
    </row>
    <row r="2" spans="3:14" x14ac:dyDescent="0.25">
      <c r="N2" s="25" t="s">
        <v>34</v>
      </c>
    </row>
    <row r="3" spans="3:14" x14ac:dyDescent="0.25">
      <c r="N3" s="25" t="s">
        <v>206</v>
      </c>
    </row>
    <row r="4" spans="3:14" x14ac:dyDescent="0.25">
      <c r="N4" s="25"/>
    </row>
    <row r="6" spans="3:14" x14ac:dyDescent="0.25">
      <c r="C6" s="69" t="s">
        <v>13</v>
      </c>
      <c r="D6" s="69"/>
      <c r="E6" s="69" t="s">
        <v>14</v>
      </c>
      <c r="F6" s="69"/>
      <c r="G6" s="69" t="s">
        <v>15</v>
      </c>
      <c r="H6" s="69"/>
      <c r="I6" s="69" t="s">
        <v>16</v>
      </c>
      <c r="J6" s="69"/>
      <c r="K6" s="69" t="s">
        <v>17</v>
      </c>
      <c r="L6" s="69"/>
      <c r="M6" s="69" t="s">
        <v>18</v>
      </c>
    </row>
    <row r="7" spans="3:14" x14ac:dyDescent="0.25"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9" spans="3:14" x14ac:dyDescent="0.25">
      <c r="C9" s="70" t="s">
        <v>92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3:14" x14ac:dyDescent="0.25"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2" spans="3:14" x14ac:dyDescent="0.25">
      <c r="E12" s="25"/>
      <c r="F12" s="25"/>
      <c r="G12" s="25" t="s">
        <v>97</v>
      </c>
      <c r="H12" s="25"/>
      <c r="M12" s="25" t="s">
        <v>173</v>
      </c>
    </row>
    <row r="13" spans="3:14" x14ac:dyDescent="0.25">
      <c r="C13" s="25" t="s">
        <v>95</v>
      </c>
      <c r="D13" s="25"/>
      <c r="E13" s="25"/>
      <c r="F13" s="25"/>
      <c r="G13" s="25" t="s">
        <v>98</v>
      </c>
      <c r="H13" s="25"/>
      <c r="I13" s="25" t="s">
        <v>99</v>
      </c>
      <c r="K13" s="25" t="s">
        <v>102</v>
      </c>
      <c r="L13" s="25"/>
      <c r="M13" s="25" t="s">
        <v>145</v>
      </c>
    </row>
    <row r="14" spans="3:14" x14ac:dyDescent="0.25">
      <c r="C14" s="25" t="s">
        <v>96</v>
      </c>
      <c r="D14" s="25"/>
      <c r="E14" s="25" t="s">
        <v>172</v>
      </c>
      <c r="F14" s="25"/>
      <c r="G14" s="25" t="s">
        <v>195</v>
      </c>
      <c r="H14" s="25"/>
      <c r="I14" s="25" t="s">
        <v>100</v>
      </c>
      <c r="K14" s="25" t="s">
        <v>103</v>
      </c>
      <c r="L14" s="25"/>
      <c r="M14" s="25" t="s">
        <v>104</v>
      </c>
    </row>
    <row r="15" spans="3:14" s="20" customFormat="1" x14ac:dyDescent="0.25">
      <c r="C15" s="71">
        <v>38168</v>
      </c>
      <c r="D15" s="94" t="s">
        <v>105</v>
      </c>
      <c r="E15" s="71">
        <v>43738</v>
      </c>
      <c r="F15" s="94" t="s">
        <v>106</v>
      </c>
      <c r="G15" s="73" t="s">
        <v>196</v>
      </c>
      <c r="H15" s="93" t="s">
        <v>107</v>
      </c>
      <c r="I15" s="21" t="s">
        <v>101</v>
      </c>
      <c r="J15" s="93" t="s">
        <v>108</v>
      </c>
      <c r="K15" s="75">
        <v>44286</v>
      </c>
      <c r="L15" s="90" t="s">
        <v>109</v>
      </c>
      <c r="M15" s="75">
        <v>44256</v>
      </c>
      <c r="N15" s="93" t="s">
        <v>110</v>
      </c>
    </row>
    <row r="16" spans="3:14" s="20" customFormat="1" ht="5.4" customHeight="1" x14ac:dyDescent="0.25">
      <c r="C16" s="71"/>
      <c r="D16" s="72"/>
      <c r="E16" s="71"/>
      <c r="F16" s="72"/>
      <c r="G16" s="73"/>
      <c r="H16" s="19"/>
      <c r="I16" s="21"/>
      <c r="J16" s="19"/>
      <c r="K16" s="75"/>
      <c r="L16" s="74"/>
      <c r="M16" s="75"/>
      <c r="N16" s="18"/>
    </row>
    <row r="17" spans="2:14" x14ac:dyDescent="0.25">
      <c r="B17" s="24" t="s">
        <v>93</v>
      </c>
    </row>
    <row r="18" spans="2:14" x14ac:dyDescent="0.25">
      <c r="B18" s="24" t="s">
        <v>94</v>
      </c>
      <c r="C18" s="91">
        <v>9.77</v>
      </c>
      <c r="D18" s="91"/>
      <c r="E18" s="92">
        <v>20.86</v>
      </c>
      <c r="F18" s="25"/>
      <c r="G18" s="54">
        <f>'Appendix N TERM 2019'!H12</f>
        <v>7.0800000000000002E-2</v>
      </c>
      <c r="H18" s="54"/>
      <c r="I18" s="54">
        <f>(1+G18)*(1+(G18*1))-1</f>
        <v>0.14660000000000001</v>
      </c>
      <c r="K18" s="91">
        <f>E18*(1+I18)</f>
        <v>23.92</v>
      </c>
      <c r="L18" s="25"/>
      <c r="M18" s="54">
        <f>K18/9.77-1</f>
        <v>1.4482999999999999</v>
      </c>
      <c r="N18" s="25"/>
    </row>
    <row r="21" spans="2:14" x14ac:dyDescent="0.25">
      <c r="B21" s="37" t="s">
        <v>111</v>
      </c>
      <c r="C21" s="37"/>
      <c r="D21" s="37"/>
      <c r="E21" s="37"/>
      <c r="F21" s="37"/>
      <c r="G21" s="37"/>
      <c r="H21" s="37"/>
      <c r="I21" s="32"/>
      <c r="J21" s="24"/>
      <c r="M21" s="24"/>
    </row>
    <row r="22" spans="2:14" x14ac:dyDescent="0.25">
      <c r="B22" s="24" t="s">
        <v>154</v>
      </c>
      <c r="J22" s="24"/>
      <c r="M22" s="24"/>
    </row>
    <row r="23" spans="2:14" x14ac:dyDescent="0.25">
      <c r="B23" s="24" t="s">
        <v>153</v>
      </c>
      <c r="J23" s="24"/>
      <c r="M23" s="24"/>
    </row>
    <row r="24" spans="2:14" x14ac:dyDescent="0.25">
      <c r="B24" s="24" t="s">
        <v>121</v>
      </c>
      <c r="J24" s="24"/>
      <c r="M24" s="24"/>
    </row>
    <row r="25" spans="2:14" x14ac:dyDescent="0.25">
      <c r="B25" s="24" t="s">
        <v>197</v>
      </c>
      <c r="J25" s="24"/>
      <c r="M25" s="24"/>
    </row>
    <row r="26" spans="2:14" x14ac:dyDescent="0.25">
      <c r="B26" s="24" t="s">
        <v>169</v>
      </c>
      <c r="J26" s="24"/>
      <c r="M26" s="24"/>
    </row>
    <row r="27" spans="2:14" x14ac:dyDescent="0.25">
      <c r="B27" s="24" t="s">
        <v>198</v>
      </c>
      <c r="J27" s="24"/>
      <c r="M27" s="24"/>
    </row>
    <row r="28" spans="2:14" x14ac:dyDescent="0.25">
      <c r="B28" s="24" t="s">
        <v>199</v>
      </c>
      <c r="J28" s="24"/>
      <c r="M28" s="24"/>
    </row>
  </sheetData>
  <sheetProtection algorithmName="SHA-512" hashValue="lidF8zGr5HF7bGhLSes5nBC6hJhiVXEu1mrHm2+dFzWud3jwH/nzslXF+35e6zjuTp81w6vgUJ/LKxzW5U5byQ==" saltValue="elG9pmdOdsyT31+Ni7ln9Q==" spinCount="100000" sheet="1" objects="1" scenarios="1"/>
  <pageMargins left="0.7" right="0.7" top="0.75" bottom="0.75" header="0.3" footer="0.3"/>
  <pageSetup scale="84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4" sqref="B4:B8"/>
    </sheetView>
  </sheetViews>
  <sheetFormatPr defaultRowHeight="14.4" x14ac:dyDescent="0.3"/>
  <sheetData>
    <row r="1" spans="1:9" x14ac:dyDescent="0.3">
      <c r="A1" t="s">
        <v>157</v>
      </c>
    </row>
    <row r="2" spans="1:9" ht="15" thickBot="1" x14ac:dyDescent="0.35"/>
    <row r="3" spans="1:9" x14ac:dyDescent="0.3">
      <c r="A3" s="87" t="s">
        <v>69</v>
      </c>
      <c r="B3" s="87"/>
    </row>
    <row r="4" spans="1:9" x14ac:dyDescent="0.3">
      <c r="A4" s="84" t="s">
        <v>70</v>
      </c>
      <c r="B4" s="84">
        <v>0.98631143329069404</v>
      </c>
    </row>
    <row r="5" spans="1:9" x14ac:dyDescent="0.3">
      <c r="A5" s="84" t="s">
        <v>71</v>
      </c>
      <c r="B5" s="84">
        <v>0.97281024343994404</v>
      </c>
    </row>
    <row r="6" spans="1:9" x14ac:dyDescent="0.3">
      <c r="A6" s="84" t="s">
        <v>147</v>
      </c>
      <c r="B6" s="84">
        <v>0.96941152386993701</v>
      </c>
    </row>
    <row r="7" spans="1:9" x14ac:dyDescent="0.3">
      <c r="A7" s="84" t="s">
        <v>144</v>
      </c>
      <c r="B7" s="84">
        <v>4.1437955344352899E-2</v>
      </c>
    </row>
    <row r="8" spans="1:9" ht="15" thickBot="1" x14ac:dyDescent="0.35">
      <c r="A8" s="85" t="s">
        <v>72</v>
      </c>
      <c r="B8" s="85">
        <v>10</v>
      </c>
    </row>
    <row r="10" spans="1:9" ht="15" thickBot="1" x14ac:dyDescent="0.35">
      <c r="A10" t="s">
        <v>73</v>
      </c>
    </row>
    <row r="11" spans="1:9" x14ac:dyDescent="0.3">
      <c r="A11" s="86"/>
      <c r="B11" s="86" t="s">
        <v>77</v>
      </c>
      <c r="C11" s="86" t="s">
        <v>78</v>
      </c>
      <c r="D11" s="86" t="s">
        <v>79</v>
      </c>
      <c r="E11" s="86" t="s">
        <v>80</v>
      </c>
      <c r="F11" s="86" t="s">
        <v>81</v>
      </c>
    </row>
    <row r="12" spans="1:9" x14ac:dyDescent="0.3">
      <c r="A12" s="84" t="s">
        <v>74</v>
      </c>
      <c r="B12" s="84">
        <v>1</v>
      </c>
      <c r="C12" s="84">
        <v>0.49148406188670901</v>
      </c>
      <c r="D12" s="84">
        <v>0.49148406188670901</v>
      </c>
      <c r="E12" s="84">
        <v>286.22845262810199</v>
      </c>
      <c r="F12" s="84">
        <v>1.51097808639475E-7</v>
      </c>
    </row>
    <row r="13" spans="1:9" x14ac:dyDescent="0.3">
      <c r="A13" s="84" t="s">
        <v>75</v>
      </c>
      <c r="B13" s="84">
        <v>8</v>
      </c>
      <c r="C13" s="84">
        <v>1.37368331449647E-2</v>
      </c>
      <c r="D13" s="84">
        <v>1.7171041431205899E-3</v>
      </c>
      <c r="E13" s="84"/>
      <c r="F13" s="84"/>
    </row>
    <row r="14" spans="1:9" ht="15" thickBot="1" x14ac:dyDescent="0.35">
      <c r="A14" s="85" t="s">
        <v>26</v>
      </c>
      <c r="B14" s="85">
        <v>9</v>
      </c>
      <c r="C14" s="85">
        <v>0.505220895031674</v>
      </c>
      <c r="D14" s="85"/>
      <c r="E14" s="85"/>
      <c r="F14" s="85"/>
    </row>
    <row r="15" spans="1:9" ht="15" thickBot="1" x14ac:dyDescent="0.35"/>
    <row r="16" spans="1:9" x14ac:dyDescent="0.3">
      <c r="A16" s="86"/>
      <c r="B16" s="86" t="s">
        <v>82</v>
      </c>
      <c r="C16" s="86" t="s">
        <v>144</v>
      </c>
      <c r="D16" s="86" t="s">
        <v>124</v>
      </c>
      <c r="E16" s="86" t="s">
        <v>83</v>
      </c>
      <c r="F16" s="86" t="s">
        <v>84</v>
      </c>
      <c r="G16" s="86" t="s">
        <v>85</v>
      </c>
      <c r="H16" s="86" t="s">
        <v>158</v>
      </c>
      <c r="I16" s="86" t="s">
        <v>159</v>
      </c>
    </row>
    <row r="17" spans="1:9" x14ac:dyDescent="0.3">
      <c r="A17" s="84" t="s">
        <v>76</v>
      </c>
      <c r="B17" s="84">
        <v>-5.1607800679394202</v>
      </c>
      <c r="C17" s="84">
        <v>0.465180059311877</v>
      </c>
      <c r="D17" s="84">
        <v>-11.0941558319881</v>
      </c>
      <c r="E17" s="84">
        <v>3.8900565616252599E-6</v>
      </c>
      <c r="F17" s="84">
        <v>-6.23348720832713</v>
      </c>
      <c r="G17" s="84">
        <v>-4.0880729275517096</v>
      </c>
      <c r="H17" s="84">
        <v>-6.23348720832713</v>
      </c>
      <c r="I17" s="84">
        <v>-4.0880729275517096</v>
      </c>
    </row>
    <row r="18" spans="1:9" ht="15" thickBot="1" x14ac:dyDescent="0.35">
      <c r="A18" s="85" t="s">
        <v>86</v>
      </c>
      <c r="B18" s="85">
        <v>1.8729306688148399E-4</v>
      </c>
      <c r="C18" s="85">
        <v>1.10704506383375E-5</v>
      </c>
      <c r="D18" s="85">
        <v>16.9182875205531</v>
      </c>
      <c r="E18" s="85">
        <v>1.5109780863947399E-7</v>
      </c>
      <c r="F18" s="85">
        <v>1.6176456193090399E-4</v>
      </c>
      <c r="G18" s="85">
        <v>2.1282157183206399E-4</v>
      </c>
      <c r="H18" s="85">
        <v>1.6176456193090399E-4</v>
      </c>
      <c r="I18" s="85">
        <v>2.1282157183206399E-4</v>
      </c>
    </row>
    <row r="22" spans="1:9" x14ac:dyDescent="0.3">
      <c r="A22" t="s">
        <v>160</v>
      </c>
    </row>
    <row r="23" spans="1:9" ht="15" thickBot="1" x14ac:dyDescent="0.35"/>
    <row r="24" spans="1:9" x14ac:dyDescent="0.3">
      <c r="A24" s="86" t="s">
        <v>161</v>
      </c>
      <c r="B24" s="86" t="s">
        <v>68</v>
      </c>
      <c r="C24" s="86" t="s">
        <v>87</v>
      </c>
    </row>
    <row r="25" spans="1:9" x14ac:dyDescent="0.3">
      <c r="A25" s="84">
        <v>1</v>
      </c>
      <c r="B25" s="84">
        <v>2.3298188489186602</v>
      </c>
      <c r="C25" s="84">
        <v>5.8943940316440901E-2</v>
      </c>
    </row>
    <row r="26" spans="1:9" x14ac:dyDescent="0.3">
      <c r="A26" s="84">
        <v>2</v>
      </c>
      <c r="B26" s="84">
        <v>2.3981808183303999</v>
      </c>
      <c r="C26" s="84">
        <v>-3.5441802516611401E-2</v>
      </c>
    </row>
    <row r="27" spans="1:9" x14ac:dyDescent="0.3">
      <c r="A27" s="84">
        <v>3</v>
      </c>
      <c r="B27" s="84">
        <v>2.5523230123738601</v>
      </c>
      <c r="C27" s="84">
        <v>-2.4197243465882999E-2</v>
      </c>
    </row>
    <row r="28" spans="1:9" x14ac:dyDescent="0.3">
      <c r="A28" s="84">
        <v>4</v>
      </c>
      <c r="B28" s="84">
        <v>2.6206849817856002</v>
      </c>
      <c r="C28" s="84">
        <v>-6.1134789001834597E-2</v>
      </c>
    </row>
    <row r="29" spans="1:9" x14ac:dyDescent="0.3">
      <c r="A29" s="84">
        <v>5</v>
      </c>
      <c r="B29" s="84">
        <v>2.68904695119735</v>
      </c>
      <c r="C29" s="84">
        <v>-4.6066157342661302E-3</v>
      </c>
    </row>
    <row r="30" spans="1:9" x14ac:dyDescent="0.3">
      <c r="A30" s="84">
        <v>6</v>
      </c>
      <c r="B30" s="84">
        <v>2.7574089206090902</v>
      </c>
      <c r="C30" s="84">
        <v>4.8372768986461701E-2</v>
      </c>
    </row>
    <row r="31" spans="1:9" x14ac:dyDescent="0.3">
      <c r="A31" s="84">
        <v>7</v>
      </c>
      <c r="B31" s="84">
        <v>2.8259581830877099</v>
      </c>
      <c r="C31" s="84">
        <v>3.7955515845428799E-2</v>
      </c>
    </row>
    <row r="32" spans="1:9" x14ac:dyDescent="0.3">
      <c r="A32" s="84">
        <v>8</v>
      </c>
      <c r="B32" s="84">
        <v>2.89432015249945</v>
      </c>
      <c r="C32" s="84">
        <v>2.1441193958664502E-3</v>
      </c>
    </row>
    <row r="33" spans="1:3" x14ac:dyDescent="0.3">
      <c r="A33" s="84">
        <v>9</v>
      </c>
      <c r="B33" s="84">
        <v>2.9626821219111901</v>
      </c>
      <c r="C33" s="84">
        <v>-2.88252520752947E-2</v>
      </c>
    </row>
    <row r="34" spans="1:3" ht="15" thickBot="1" x14ac:dyDescent="0.35">
      <c r="A34" s="85">
        <v>10</v>
      </c>
      <c r="B34" s="85">
        <v>3.0310440913229399</v>
      </c>
      <c r="C34" s="85">
        <v>6.7893582496934002E-3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7"/>
  <sheetViews>
    <sheetView showGridLines="0" workbookViewId="0">
      <selection activeCell="L41" sqref="L41"/>
    </sheetView>
  </sheetViews>
  <sheetFormatPr defaultColWidth="9.109375" defaultRowHeight="13.8" x14ac:dyDescent="0.25"/>
  <cols>
    <col min="1" max="1" width="2.5546875" style="24" customWidth="1"/>
    <col min="2" max="2" width="15.6640625" style="24" customWidth="1"/>
    <col min="3" max="3" width="12.6640625" style="24" customWidth="1"/>
    <col min="4" max="5" width="12.5546875" style="24" customWidth="1"/>
    <col min="6" max="7" width="12.6640625" style="24" customWidth="1"/>
    <col min="8" max="8" width="11.109375" style="24" customWidth="1"/>
    <col min="9" max="16384" width="9.109375" style="24"/>
  </cols>
  <sheetData>
    <row r="1" spans="2:21" x14ac:dyDescent="0.25">
      <c r="B1" s="44"/>
      <c r="C1" s="56"/>
      <c r="D1" s="56"/>
      <c r="E1" s="33"/>
      <c r="F1" s="44"/>
      <c r="G1" s="44"/>
      <c r="H1" s="33"/>
      <c r="S1" s="33"/>
    </row>
    <row r="2" spans="2:21" x14ac:dyDescent="0.25">
      <c r="B2" s="44"/>
      <c r="C2" s="56"/>
      <c r="D2" s="56"/>
      <c r="E2" s="33"/>
      <c r="F2" s="44"/>
      <c r="G2" s="44"/>
      <c r="J2" s="33" t="s">
        <v>34</v>
      </c>
      <c r="U2" s="33" t="s">
        <v>34</v>
      </c>
    </row>
    <row r="3" spans="2:21" x14ac:dyDescent="0.25">
      <c r="B3" s="44"/>
      <c r="C3" s="56"/>
      <c r="D3" s="56"/>
      <c r="E3" s="33"/>
      <c r="F3" s="44"/>
      <c r="G3" s="44"/>
      <c r="J3" s="33" t="s">
        <v>207</v>
      </c>
      <c r="U3" s="33" t="s">
        <v>207</v>
      </c>
    </row>
    <row r="4" spans="2:21" x14ac:dyDescent="0.25">
      <c r="B4" s="137" t="s">
        <v>180</v>
      </c>
      <c r="C4" s="137"/>
      <c r="D4" s="137"/>
      <c r="E4" s="137"/>
      <c r="F4" s="137"/>
      <c r="G4" s="137"/>
      <c r="H4" s="137"/>
      <c r="J4" s="61" t="s">
        <v>90</v>
      </c>
      <c r="U4" s="61" t="s">
        <v>91</v>
      </c>
    </row>
    <row r="5" spans="2:21" x14ac:dyDescent="0.25">
      <c r="B5" s="44"/>
      <c r="C5" s="56"/>
      <c r="D5" s="56"/>
      <c r="E5" s="33"/>
      <c r="F5" s="44"/>
      <c r="G5" s="44"/>
      <c r="J5" s="61"/>
      <c r="S5" s="61"/>
    </row>
    <row r="6" spans="2:21" x14ac:dyDescent="0.25">
      <c r="B6" s="44"/>
      <c r="C6" s="56"/>
      <c r="D6" s="56"/>
      <c r="E6" s="33"/>
      <c r="F6" s="44"/>
      <c r="G6" s="44"/>
      <c r="J6" s="61"/>
      <c r="S6" s="61"/>
    </row>
    <row r="7" spans="2:21" x14ac:dyDescent="0.25">
      <c r="B7" s="44"/>
      <c r="C7" s="44"/>
      <c r="D7" s="33"/>
      <c r="E7" s="44"/>
      <c r="F7" s="44"/>
      <c r="G7" s="44"/>
      <c r="H7" s="44"/>
    </row>
    <row r="8" spans="2:21" x14ac:dyDescent="0.25">
      <c r="B8" s="44"/>
      <c r="C8" s="44"/>
      <c r="D8" s="33" t="s">
        <v>66</v>
      </c>
      <c r="E8" s="44"/>
      <c r="F8" s="44"/>
      <c r="G8" s="44"/>
      <c r="H8" s="44"/>
    </row>
    <row r="9" spans="2:21" x14ac:dyDescent="0.25">
      <c r="B9" s="33"/>
      <c r="C9" s="33"/>
      <c r="D9" s="33" t="s">
        <v>67</v>
      </c>
      <c r="E9" s="44"/>
      <c r="F9" s="44"/>
      <c r="G9" s="44"/>
      <c r="H9" s="33" t="s">
        <v>88</v>
      </c>
    </row>
    <row r="10" spans="2:21" x14ac:dyDescent="0.25">
      <c r="B10" s="95" t="s">
        <v>181</v>
      </c>
      <c r="C10" s="33" t="s">
        <v>174</v>
      </c>
      <c r="D10" s="33" t="s">
        <v>174</v>
      </c>
      <c r="E10" s="44"/>
      <c r="F10" s="44"/>
      <c r="G10" s="44"/>
      <c r="H10" s="33" t="s">
        <v>176</v>
      </c>
    </row>
    <row r="11" spans="2:21" x14ac:dyDescent="0.25">
      <c r="B11" s="96" t="s">
        <v>182</v>
      </c>
      <c r="C11" s="62" t="s">
        <v>34</v>
      </c>
      <c r="D11" s="62" t="s">
        <v>34</v>
      </c>
      <c r="E11" s="64" t="s">
        <v>68</v>
      </c>
      <c r="F11" s="64" t="s">
        <v>87</v>
      </c>
      <c r="G11" s="62" t="s">
        <v>175</v>
      </c>
      <c r="H11" s="62" t="s">
        <v>89</v>
      </c>
    </row>
    <row r="12" spans="2:21" x14ac:dyDescent="0.25">
      <c r="B12" s="97">
        <v>39994</v>
      </c>
      <c r="C12" s="56">
        <v>10.9</v>
      </c>
      <c r="D12" s="44">
        <v>2.3887627892351002</v>
      </c>
      <c r="E12" s="65">
        <v>2.3298188489186602</v>
      </c>
      <c r="F12" s="65">
        <v>5.8943940316440901E-2</v>
      </c>
      <c r="G12" s="65">
        <f t="shared" ref="G12:G21" si="0">EXP(E12)</f>
        <v>10.276079841449601</v>
      </c>
      <c r="H12" s="99">
        <f>G13/G12-1</f>
        <v>7.0800000000000002E-2</v>
      </c>
    </row>
    <row r="13" spans="2:21" x14ac:dyDescent="0.25">
      <c r="B13" s="97">
        <v>40359</v>
      </c>
      <c r="C13" s="56">
        <v>10.62</v>
      </c>
      <c r="D13" s="44">
        <v>2.3627390158137902</v>
      </c>
      <c r="E13" s="65">
        <v>2.3981808183303999</v>
      </c>
      <c r="F13" s="65">
        <v>-3.5441802516611401E-2</v>
      </c>
      <c r="G13" s="65">
        <f t="shared" si="0"/>
        <v>11.003141449344399</v>
      </c>
      <c r="H13" s="66"/>
    </row>
    <row r="14" spans="2:21" x14ac:dyDescent="0.25">
      <c r="B14" s="97">
        <v>41182</v>
      </c>
      <c r="C14" s="56">
        <v>12.53</v>
      </c>
      <c r="D14" s="44">
        <v>2.5281257689079801</v>
      </c>
      <c r="E14" s="65">
        <v>2.5523230123738601</v>
      </c>
      <c r="F14" s="65">
        <v>-2.4197243465882999E-2</v>
      </c>
      <c r="G14" s="65">
        <f t="shared" si="0"/>
        <v>12.836889426038001</v>
      </c>
      <c r="H14" s="66"/>
    </row>
    <row r="15" spans="2:21" x14ac:dyDescent="0.25">
      <c r="B15" s="97">
        <v>41547</v>
      </c>
      <c r="C15" s="56">
        <v>12.93</v>
      </c>
      <c r="D15" s="44">
        <v>2.5595501927837701</v>
      </c>
      <c r="E15" s="65">
        <v>2.6206849817856002</v>
      </c>
      <c r="F15" s="65">
        <v>-6.1134789001834597E-2</v>
      </c>
      <c r="G15" s="65">
        <f t="shared" si="0"/>
        <v>13.745135528682701</v>
      </c>
      <c r="H15" s="66"/>
    </row>
    <row r="16" spans="2:21" x14ac:dyDescent="0.25">
      <c r="B16" s="97">
        <v>41912</v>
      </c>
      <c r="C16" s="56">
        <v>14.65</v>
      </c>
      <c r="D16" s="44">
        <v>2.6844403354630799</v>
      </c>
      <c r="E16" s="65">
        <v>2.68904695119735</v>
      </c>
      <c r="F16" s="65">
        <v>-4.6066157342661302E-3</v>
      </c>
      <c r="G16" s="65">
        <f t="shared" si="0"/>
        <v>14.7176426026261</v>
      </c>
      <c r="H16" s="66"/>
    </row>
    <row r="17" spans="2:8" x14ac:dyDescent="0.25">
      <c r="B17" s="97">
        <v>42277</v>
      </c>
      <c r="C17" s="56">
        <v>16.54</v>
      </c>
      <c r="D17" s="44">
        <v>2.8057816895955501</v>
      </c>
      <c r="E17" s="65">
        <v>2.7574089206090902</v>
      </c>
      <c r="F17" s="65">
        <v>4.8372768986461701E-2</v>
      </c>
      <c r="G17" s="65">
        <f t="shared" si="0"/>
        <v>15.758957292681799</v>
      </c>
      <c r="H17" s="65"/>
    </row>
    <row r="18" spans="2:8" x14ac:dyDescent="0.25">
      <c r="B18" s="97">
        <v>42643</v>
      </c>
      <c r="C18" s="56">
        <v>17.53</v>
      </c>
      <c r="D18" s="44">
        <v>2.86391369893314</v>
      </c>
      <c r="E18" s="65">
        <v>2.8259581830877099</v>
      </c>
      <c r="F18" s="65">
        <v>3.7955515845428799E-2</v>
      </c>
      <c r="G18" s="65">
        <f t="shared" si="0"/>
        <v>16.877108601032099</v>
      </c>
      <c r="H18" s="65"/>
    </row>
    <row r="19" spans="2:8" x14ac:dyDescent="0.25">
      <c r="B19" s="97">
        <v>43008</v>
      </c>
      <c r="C19" s="56">
        <v>18.11</v>
      </c>
      <c r="D19" s="44">
        <v>2.89646427189532</v>
      </c>
      <c r="E19" s="65">
        <v>2.89432015249945</v>
      </c>
      <c r="F19" s="65">
        <v>2.1441193958664502E-3</v>
      </c>
      <c r="G19" s="65">
        <f t="shared" si="0"/>
        <v>18.071211596085298</v>
      </c>
      <c r="H19" s="65"/>
    </row>
    <row r="20" spans="2:8" x14ac:dyDescent="0.25">
      <c r="B20" s="97">
        <v>43373</v>
      </c>
      <c r="C20" s="56">
        <v>18.8</v>
      </c>
      <c r="D20" s="44">
        <v>2.9338568698359002</v>
      </c>
      <c r="E20" s="65">
        <v>2.9626821219111901</v>
      </c>
      <c r="F20" s="65">
        <v>-2.88252520752947E-2</v>
      </c>
      <c r="G20" s="65">
        <f t="shared" si="0"/>
        <v>19.349800743150901</v>
      </c>
      <c r="H20" s="44"/>
    </row>
    <row r="21" spans="2:8" ht="14.4" thickBot="1" x14ac:dyDescent="0.3">
      <c r="B21" s="98">
        <v>43738</v>
      </c>
      <c r="C21" s="88">
        <v>20.86</v>
      </c>
      <c r="D21" s="89">
        <f t="shared" ref="D21" si="1">LN(C21)</f>
        <v>3.0378334495726298</v>
      </c>
      <c r="E21" s="89">
        <v>3.0310440913229399</v>
      </c>
      <c r="F21" s="89">
        <v>6.7893582496934002E-3</v>
      </c>
      <c r="G21" s="81">
        <f t="shared" si="0"/>
        <v>20.718853675575101</v>
      </c>
      <c r="H21" s="44"/>
    </row>
    <row r="22" spans="2:8" x14ac:dyDescent="0.25">
      <c r="B22" s="97"/>
      <c r="C22" s="56"/>
      <c r="D22" s="44"/>
      <c r="E22" s="44"/>
      <c r="F22" s="44"/>
      <c r="G22" s="65"/>
      <c r="H22" s="44"/>
    </row>
    <row r="23" spans="2:8" x14ac:dyDescent="0.25">
      <c r="B23" s="44"/>
      <c r="C23" s="44"/>
      <c r="D23" s="44"/>
      <c r="E23" s="44"/>
      <c r="F23" s="44"/>
      <c r="G23" s="44"/>
      <c r="H23" s="44"/>
    </row>
    <row r="24" spans="2:8" x14ac:dyDescent="0.25">
      <c r="B24" s="44" t="s">
        <v>73</v>
      </c>
      <c r="C24" s="44"/>
      <c r="D24" s="44"/>
      <c r="E24" s="44"/>
      <c r="F24" s="44"/>
      <c r="G24" s="44"/>
      <c r="H24" s="44"/>
    </row>
    <row r="25" spans="2:8" x14ac:dyDescent="0.25">
      <c r="B25" s="67"/>
      <c r="C25" s="64" t="s">
        <v>77</v>
      </c>
      <c r="D25" s="64" t="s">
        <v>78</v>
      </c>
      <c r="E25" s="64" t="s">
        <v>79</v>
      </c>
      <c r="F25" s="64" t="s">
        <v>80</v>
      </c>
      <c r="G25" s="64" t="s">
        <v>81</v>
      </c>
      <c r="H25" s="44"/>
    </row>
    <row r="26" spans="2:8" x14ac:dyDescent="0.25">
      <c r="B26" s="65" t="s">
        <v>74</v>
      </c>
      <c r="C26" s="65">
        <v>1</v>
      </c>
      <c r="D26" s="65">
        <v>0.49148406188670901</v>
      </c>
      <c r="E26" s="65">
        <v>0.49148406188670901</v>
      </c>
      <c r="F26" s="65">
        <v>286.22845262810199</v>
      </c>
      <c r="G26" s="65">
        <v>1.51097808639475E-7</v>
      </c>
      <c r="H26" s="44"/>
    </row>
    <row r="27" spans="2:8" x14ac:dyDescent="0.25">
      <c r="B27" s="65" t="s">
        <v>75</v>
      </c>
      <c r="C27" s="65">
        <v>8</v>
      </c>
      <c r="D27" s="65">
        <v>1.37368331449647E-2</v>
      </c>
      <c r="E27" s="65">
        <v>1.7171041431205899E-3</v>
      </c>
      <c r="F27" s="65"/>
      <c r="G27" s="65"/>
      <c r="H27" s="44"/>
    </row>
    <row r="28" spans="2:8" ht="14.4" thickBot="1" x14ac:dyDescent="0.3">
      <c r="B28" s="81" t="s">
        <v>26</v>
      </c>
      <c r="C28" s="81">
        <v>9</v>
      </c>
      <c r="D28" s="81">
        <v>0.505220895031674</v>
      </c>
      <c r="E28" s="81"/>
      <c r="F28" s="81"/>
      <c r="G28" s="81"/>
      <c r="H28" s="44"/>
    </row>
    <row r="29" spans="2:8" x14ac:dyDescent="0.25">
      <c r="B29" s="44"/>
      <c r="C29" s="44"/>
      <c r="D29" s="44"/>
      <c r="E29" s="44"/>
      <c r="F29" s="44"/>
      <c r="G29" s="44"/>
      <c r="H29" s="44"/>
    </row>
    <row r="30" spans="2:8" x14ac:dyDescent="0.25">
      <c r="B30" s="67"/>
      <c r="C30" s="63" t="s">
        <v>82</v>
      </c>
      <c r="D30" s="63" t="s">
        <v>144</v>
      </c>
      <c r="E30" s="63" t="s">
        <v>124</v>
      </c>
      <c r="F30" s="63" t="s">
        <v>83</v>
      </c>
      <c r="G30" s="63" t="s">
        <v>84</v>
      </c>
      <c r="H30" s="63" t="s">
        <v>85</v>
      </c>
    </row>
    <row r="31" spans="2:8" x14ac:dyDescent="0.25">
      <c r="B31" s="65" t="s">
        <v>76</v>
      </c>
      <c r="C31" s="65">
        <v>-5.1607800679394202</v>
      </c>
      <c r="D31" s="65">
        <v>0.465180059311877</v>
      </c>
      <c r="E31" s="65">
        <v>-11.0941558319881</v>
      </c>
      <c r="F31" s="65">
        <v>3.8900565616252599E-6</v>
      </c>
      <c r="G31" s="65">
        <v>-6.23348720832713</v>
      </c>
      <c r="H31" s="65">
        <v>-4.0880729275517096</v>
      </c>
    </row>
    <row r="32" spans="2:8" ht="14.4" thickBot="1" x14ac:dyDescent="0.3">
      <c r="B32" s="81" t="s">
        <v>86</v>
      </c>
      <c r="C32" s="81">
        <v>1.8729306688148399E-4</v>
      </c>
      <c r="D32" s="81">
        <v>1.10704506383375E-5</v>
      </c>
      <c r="E32" s="81">
        <v>16.9182875205531</v>
      </c>
      <c r="F32" s="81">
        <v>1.5109780863947399E-7</v>
      </c>
      <c r="G32" s="81">
        <v>1.6176456193090399E-4</v>
      </c>
      <c r="H32" s="81">
        <v>2.1282157183206399E-4</v>
      </c>
    </row>
    <row r="33" spans="2:10" x14ac:dyDescent="0.25">
      <c r="B33" s="44"/>
      <c r="C33" s="44"/>
      <c r="D33" s="44"/>
      <c r="E33" s="44"/>
      <c r="F33" s="44"/>
      <c r="G33" s="44"/>
      <c r="H33" s="44"/>
    </row>
    <row r="34" spans="2:10" x14ac:dyDescent="0.25">
      <c r="B34" s="44"/>
      <c r="C34" s="44"/>
      <c r="D34" s="44"/>
      <c r="E34" s="44"/>
      <c r="F34" s="44"/>
      <c r="G34" s="44"/>
      <c r="H34" s="44"/>
    </row>
    <row r="35" spans="2:10" x14ac:dyDescent="0.25">
      <c r="B35" s="24" t="s">
        <v>160</v>
      </c>
      <c r="D35" s="44"/>
      <c r="E35" s="44"/>
      <c r="F35" s="44"/>
      <c r="G35" s="44"/>
      <c r="H35" s="44"/>
    </row>
    <row r="36" spans="2:10" ht="14.4" thickBot="1" x14ac:dyDescent="0.3">
      <c r="B36" s="44"/>
      <c r="C36" s="44"/>
      <c r="D36" s="44"/>
      <c r="E36" s="44"/>
      <c r="F36" s="44"/>
      <c r="G36" s="44"/>
      <c r="H36" s="44"/>
    </row>
    <row r="37" spans="2:10" x14ac:dyDescent="0.25">
      <c r="B37" s="100" t="s">
        <v>69</v>
      </c>
      <c r="C37" s="100"/>
      <c r="D37" s="44"/>
      <c r="E37" s="44"/>
      <c r="F37" s="44"/>
      <c r="G37" s="44"/>
      <c r="H37" s="44"/>
    </row>
    <row r="38" spans="2:10" x14ac:dyDescent="0.25">
      <c r="B38" s="65" t="s">
        <v>70</v>
      </c>
      <c r="C38" s="65">
        <v>0.98631143329069404</v>
      </c>
      <c r="D38" s="44"/>
      <c r="E38" s="44"/>
      <c r="F38" s="44"/>
      <c r="G38" s="65"/>
      <c r="H38" s="44"/>
    </row>
    <row r="39" spans="2:10" x14ac:dyDescent="0.25">
      <c r="B39" s="65" t="s">
        <v>71</v>
      </c>
      <c r="C39" s="65">
        <v>0.97281024343994404</v>
      </c>
      <c r="D39" s="44"/>
      <c r="E39" s="44"/>
      <c r="F39" s="44"/>
      <c r="G39" s="65"/>
      <c r="H39" s="44"/>
    </row>
    <row r="40" spans="2:10" x14ac:dyDescent="0.25">
      <c r="B40" s="65" t="s">
        <v>147</v>
      </c>
      <c r="C40" s="65">
        <v>0.96941152386993701</v>
      </c>
      <c r="D40" s="44"/>
      <c r="E40" s="44"/>
      <c r="F40" s="44"/>
      <c r="G40" s="65"/>
      <c r="H40" s="44"/>
    </row>
    <row r="41" spans="2:10" x14ac:dyDescent="0.25">
      <c r="B41" s="65" t="s">
        <v>144</v>
      </c>
      <c r="C41" s="65">
        <v>4.1437955344352899E-2</v>
      </c>
      <c r="D41" s="44"/>
      <c r="E41" s="44"/>
      <c r="F41" s="44"/>
      <c r="G41" s="65"/>
      <c r="H41" s="44"/>
    </row>
    <row r="42" spans="2:10" ht="14.4" thickBot="1" x14ac:dyDescent="0.3">
      <c r="B42" s="81" t="s">
        <v>72</v>
      </c>
      <c r="C42" s="81">
        <v>10</v>
      </c>
      <c r="D42" s="44"/>
      <c r="E42" s="44"/>
      <c r="F42" s="44"/>
      <c r="G42" s="65"/>
      <c r="H42" s="44"/>
    </row>
    <row r="43" spans="2:10" x14ac:dyDescent="0.25">
      <c r="B43" s="65"/>
      <c r="C43" s="65"/>
      <c r="D43" s="44"/>
      <c r="E43" s="44"/>
      <c r="F43" s="44"/>
      <c r="G43" s="44"/>
      <c r="H43" s="44"/>
    </row>
    <row r="44" spans="2:10" x14ac:dyDescent="0.25">
      <c r="B44" s="44"/>
      <c r="C44" s="44"/>
      <c r="D44" s="44"/>
      <c r="E44" s="44"/>
      <c r="F44" s="44"/>
      <c r="G44" s="44"/>
      <c r="H44" s="44"/>
    </row>
    <row r="45" spans="2:10" x14ac:dyDescent="0.25">
      <c r="B45" s="44"/>
      <c r="C45" s="56"/>
      <c r="D45" s="56"/>
      <c r="E45" s="33"/>
      <c r="F45" s="44"/>
      <c r="G45" s="44"/>
      <c r="H45" s="33"/>
    </row>
    <row r="46" spans="2:10" x14ac:dyDescent="0.25">
      <c r="B46" s="44"/>
      <c r="C46" s="56"/>
      <c r="D46" s="56"/>
      <c r="E46" s="33"/>
      <c r="F46" s="44"/>
      <c r="G46" s="44"/>
      <c r="J46" s="33"/>
    </row>
    <row r="47" spans="2:10" x14ac:dyDescent="0.25">
      <c r="B47" s="44"/>
      <c r="C47" s="56"/>
      <c r="D47" s="56"/>
      <c r="E47" s="33"/>
      <c r="F47" s="44"/>
      <c r="G47" s="44"/>
      <c r="J47" s="33"/>
    </row>
    <row r="48" spans="2:10" x14ac:dyDescent="0.25">
      <c r="B48" s="137"/>
      <c r="C48" s="137"/>
      <c r="D48" s="137"/>
      <c r="E48" s="137"/>
      <c r="F48" s="137"/>
      <c r="G48" s="137"/>
      <c r="H48" s="137"/>
      <c r="J48" s="61"/>
    </row>
    <row r="49" spans="2:10" x14ac:dyDescent="0.25">
      <c r="B49" s="44"/>
      <c r="C49" s="56"/>
      <c r="D49" s="56"/>
      <c r="E49" s="33"/>
      <c r="F49" s="44"/>
      <c r="G49" s="44"/>
      <c r="J49" s="61"/>
    </row>
    <row r="50" spans="2:10" x14ac:dyDescent="0.25">
      <c r="B50" s="44"/>
      <c r="C50" s="56"/>
      <c r="D50" s="56"/>
      <c r="E50" s="33"/>
      <c r="F50" s="44"/>
      <c r="G50" s="44"/>
      <c r="J50" s="61"/>
    </row>
    <row r="51" spans="2:10" x14ac:dyDescent="0.25">
      <c r="B51" s="44"/>
      <c r="C51" s="44"/>
      <c r="D51" s="33"/>
      <c r="E51" s="44"/>
      <c r="F51" s="44"/>
      <c r="G51" s="44"/>
      <c r="H51" s="44"/>
    </row>
    <row r="52" spans="2:10" x14ac:dyDescent="0.25">
      <c r="B52" s="44"/>
      <c r="C52" s="44"/>
      <c r="D52" s="33"/>
      <c r="E52" s="44"/>
      <c r="F52" s="44"/>
      <c r="G52" s="44"/>
      <c r="H52" s="44"/>
    </row>
    <row r="53" spans="2:10" x14ac:dyDescent="0.25">
      <c r="B53" s="33"/>
      <c r="C53" s="33"/>
      <c r="D53" s="33"/>
      <c r="E53" s="44"/>
      <c r="F53" s="44"/>
      <c r="G53" s="44"/>
      <c r="H53" s="33"/>
    </row>
    <row r="54" spans="2:10" x14ac:dyDescent="0.25">
      <c r="B54" s="95"/>
      <c r="C54" s="33"/>
      <c r="D54" s="33"/>
      <c r="E54" s="44"/>
      <c r="F54" s="44"/>
      <c r="G54" s="44"/>
      <c r="H54" s="33"/>
    </row>
    <row r="55" spans="2:10" x14ac:dyDescent="0.25">
      <c r="B55" s="96"/>
      <c r="C55" s="62"/>
      <c r="D55" s="62"/>
      <c r="E55" s="64"/>
      <c r="F55" s="64"/>
      <c r="G55" s="62"/>
      <c r="H55" s="62"/>
    </row>
    <row r="56" spans="2:10" x14ac:dyDescent="0.25">
      <c r="B56" s="97"/>
      <c r="C56" s="56"/>
      <c r="D56" s="44"/>
      <c r="E56" s="65"/>
      <c r="F56" s="65"/>
      <c r="G56" s="65"/>
      <c r="H56" s="99"/>
    </row>
    <row r="57" spans="2:10" x14ac:dyDescent="0.25">
      <c r="B57" s="97"/>
      <c r="C57" s="56"/>
      <c r="D57" s="44"/>
      <c r="E57" s="65"/>
      <c r="F57" s="65"/>
      <c r="G57" s="65"/>
      <c r="H57" s="66"/>
    </row>
    <row r="58" spans="2:10" x14ac:dyDescent="0.25">
      <c r="B58" s="97"/>
      <c r="C58" s="56"/>
      <c r="D58" s="44"/>
      <c r="E58" s="65"/>
      <c r="F58" s="65"/>
      <c r="G58" s="65"/>
      <c r="H58" s="66"/>
    </row>
    <row r="59" spans="2:10" x14ac:dyDescent="0.25">
      <c r="B59" s="97"/>
      <c r="C59" s="56"/>
      <c r="D59" s="44"/>
      <c r="E59" s="65"/>
      <c r="F59" s="65"/>
      <c r="G59" s="65"/>
      <c r="H59" s="66"/>
    </row>
    <row r="60" spans="2:10" x14ac:dyDescent="0.25">
      <c r="B60" s="97"/>
      <c r="C60" s="56"/>
      <c r="D60" s="44"/>
      <c r="E60" s="65"/>
      <c r="F60" s="65"/>
      <c r="G60" s="65"/>
      <c r="H60" s="66"/>
    </row>
    <row r="61" spans="2:10" x14ac:dyDescent="0.25">
      <c r="B61" s="97"/>
      <c r="C61" s="56"/>
      <c r="D61" s="44"/>
      <c r="E61" s="65"/>
      <c r="F61" s="65"/>
      <c r="G61" s="65"/>
      <c r="H61" s="65"/>
    </row>
    <row r="62" spans="2:10" x14ac:dyDescent="0.25">
      <c r="B62" s="97"/>
      <c r="C62" s="56"/>
      <c r="D62" s="44"/>
      <c r="E62" s="65"/>
      <c r="F62" s="65"/>
      <c r="G62" s="65"/>
      <c r="H62" s="65"/>
    </row>
    <row r="63" spans="2:10" x14ac:dyDescent="0.25">
      <c r="B63" s="97"/>
      <c r="C63" s="56"/>
      <c r="D63" s="44"/>
      <c r="E63" s="65"/>
      <c r="F63" s="65"/>
      <c r="G63" s="65"/>
      <c r="H63" s="65"/>
    </row>
    <row r="64" spans="2:10" x14ac:dyDescent="0.25">
      <c r="B64" s="97"/>
      <c r="C64" s="56"/>
      <c r="D64" s="44"/>
      <c r="E64" s="65"/>
      <c r="F64" s="65"/>
      <c r="G64" s="65"/>
      <c r="H64" s="44"/>
      <c r="I64" s="44"/>
    </row>
    <row r="65" spans="2:9" x14ac:dyDescent="0.25">
      <c r="B65" s="97"/>
      <c r="C65" s="56"/>
      <c r="D65" s="44"/>
      <c r="E65" s="44"/>
      <c r="F65" s="44"/>
      <c r="G65" s="65"/>
      <c r="H65" s="44"/>
      <c r="I65" s="44"/>
    </row>
    <row r="66" spans="2:9" x14ac:dyDescent="0.25">
      <c r="B66" s="97"/>
      <c r="C66" s="56"/>
      <c r="D66" s="44"/>
      <c r="E66" s="44"/>
      <c r="F66" s="44"/>
      <c r="G66" s="65"/>
      <c r="H66" s="44"/>
      <c r="I66" s="44"/>
    </row>
    <row r="67" spans="2:9" x14ac:dyDescent="0.25">
      <c r="B67" s="44"/>
      <c r="C67" s="44"/>
      <c r="D67" s="44"/>
      <c r="E67" s="44"/>
      <c r="F67" s="44"/>
      <c r="G67" s="44"/>
      <c r="H67" s="44"/>
      <c r="I67" s="44"/>
    </row>
    <row r="68" spans="2:9" x14ac:dyDescent="0.25">
      <c r="B68" s="44"/>
      <c r="C68" s="44"/>
      <c r="D68" s="44"/>
      <c r="E68" s="44"/>
      <c r="F68" s="44"/>
      <c r="G68" s="44"/>
      <c r="H68" s="44"/>
      <c r="I68" s="44"/>
    </row>
    <row r="69" spans="2:9" x14ac:dyDescent="0.25">
      <c r="B69" s="67"/>
      <c r="C69" s="64"/>
      <c r="D69" s="64"/>
      <c r="E69" s="64"/>
      <c r="F69" s="64"/>
      <c r="G69" s="64"/>
      <c r="H69" s="44"/>
      <c r="I69" s="44"/>
    </row>
    <row r="70" spans="2:9" x14ac:dyDescent="0.25">
      <c r="B70" s="65"/>
      <c r="C70" s="65"/>
      <c r="D70" s="65"/>
      <c r="E70" s="65"/>
      <c r="F70" s="65"/>
      <c r="G70" s="65"/>
      <c r="H70" s="44"/>
      <c r="I70" s="44"/>
    </row>
    <row r="71" spans="2:9" x14ac:dyDescent="0.25">
      <c r="B71" s="65"/>
      <c r="C71" s="65"/>
      <c r="D71" s="65"/>
      <c r="E71" s="65"/>
      <c r="F71" s="65"/>
      <c r="G71" s="65"/>
      <c r="H71" s="44"/>
      <c r="I71" s="44"/>
    </row>
    <row r="72" spans="2:9" x14ac:dyDescent="0.25">
      <c r="B72" s="65"/>
      <c r="C72" s="65"/>
      <c r="D72" s="65"/>
      <c r="E72" s="65"/>
      <c r="F72" s="65"/>
      <c r="G72" s="65"/>
      <c r="H72" s="44"/>
      <c r="I72" s="44"/>
    </row>
    <row r="73" spans="2:9" x14ac:dyDescent="0.25">
      <c r="B73" s="44"/>
      <c r="C73" s="44"/>
      <c r="D73" s="44"/>
      <c r="E73" s="44"/>
      <c r="F73" s="44"/>
      <c r="G73" s="44"/>
      <c r="H73" s="44"/>
      <c r="I73" s="44"/>
    </row>
    <row r="74" spans="2:9" x14ac:dyDescent="0.25">
      <c r="B74" s="67"/>
      <c r="C74" s="63"/>
      <c r="D74" s="63"/>
      <c r="E74" s="63"/>
      <c r="F74" s="63"/>
      <c r="G74" s="63"/>
      <c r="H74" s="63"/>
      <c r="I74" s="44"/>
    </row>
    <row r="75" spans="2:9" x14ac:dyDescent="0.25">
      <c r="B75" s="65"/>
      <c r="C75" s="65"/>
      <c r="D75" s="65"/>
      <c r="E75" s="65"/>
      <c r="F75" s="65"/>
      <c r="G75" s="65"/>
      <c r="H75" s="65"/>
      <c r="I75" s="44"/>
    </row>
    <row r="76" spans="2:9" x14ac:dyDescent="0.25">
      <c r="B76" s="65"/>
      <c r="C76" s="65"/>
      <c r="D76" s="65"/>
      <c r="E76" s="65"/>
      <c r="F76" s="65"/>
      <c r="G76" s="65"/>
      <c r="H76" s="65"/>
      <c r="I76" s="44"/>
    </row>
    <row r="77" spans="2:9" x14ac:dyDescent="0.25">
      <c r="B77" s="44"/>
      <c r="C77" s="44"/>
      <c r="D77" s="44"/>
      <c r="E77" s="44"/>
      <c r="F77" s="44"/>
      <c r="G77" s="44"/>
      <c r="H77" s="44"/>
      <c r="I77" s="44"/>
    </row>
    <row r="78" spans="2:9" x14ac:dyDescent="0.25">
      <c r="B78" s="44"/>
      <c r="C78" s="44"/>
      <c r="D78" s="44"/>
      <c r="E78" s="44"/>
      <c r="F78" s="44"/>
      <c r="G78" s="44"/>
      <c r="H78" s="44"/>
      <c r="I78" s="44"/>
    </row>
    <row r="79" spans="2:9" x14ac:dyDescent="0.25">
      <c r="B79" s="44"/>
      <c r="C79" s="44"/>
      <c r="D79" s="44"/>
      <c r="E79" s="44"/>
      <c r="F79" s="44"/>
      <c r="G79" s="44"/>
      <c r="H79" s="44"/>
      <c r="I79" s="44"/>
    </row>
    <row r="80" spans="2:9" x14ac:dyDescent="0.25">
      <c r="B80" s="44"/>
      <c r="C80" s="44"/>
      <c r="D80" s="44"/>
      <c r="E80" s="44"/>
      <c r="F80" s="44"/>
      <c r="G80" s="44"/>
      <c r="H80" s="44"/>
      <c r="I80" s="44"/>
    </row>
    <row r="81" spans="2:9" x14ac:dyDescent="0.25">
      <c r="B81" s="112"/>
      <c r="C81" s="112"/>
      <c r="D81" s="44"/>
      <c r="E81" s="44"/>
      <c r="F81" s="44"/>
      <c r="G81" s="44"/>
      <c r="H81" s="44"/>
      <c r="I81" s="44"/>
    </row>
    <row r="82" spans="2:9" x14ac:dyDescent="0.25">
      <c r="B82" s="65"/>
      <c r="C82" s="65"/>
      <c r="D82" s="44"/>
      <c r="E82" s="44"/>
      <c r="F82" s="44"/>
      <c r="G82" s="65"/>
      <c r="H82" s="44"/>
      <c r="I82" s="44"/>
    </row>
    <row r="83" spans="2:9" x14ac:dyDescent="0.25">
      <c r="B83" s="65"/>
      <c r="C83" s="65"/>
      <c r="D83" s="44"/>
      <c r="E83" s="44"/>
      <c r="F83" s="44"/>
      <c r="G83" s="65"/>
      <c r="H83" s="44"/>
      <c r="I83" s="44"/>
    </row>
    <row r="84" spans="2:9" x14ac:dyDescent="0.25">
      <c r="B84" s="65"/>
      <c r="C84" s="65"/>
      <c r="D84" s="44"/>
      <c r="E84" s="44"/>
      <c r="F84" s="44"/>
      <c r="G84" s="65"/>
      <c r="H84" s="44"/>
    </row>
    <row r="85" spans="2:9" x14ac:dyDescent="0.25">
      <c r="B85" s="65"/>
      <c r="C85" s="65"/>
      <c r="D85" s="44"/>
      <c r="E85" s="44"/>
      <c r="F85" s="44"/>
      <c r="G85" s="65"/>
      <c r="H85" s="44"/>
    </row>
    <row r="86" spans="2:9" ht="14.4" thickBot="1" x14ac:dyDescent="0.3">
      <c r="B86" s="81"/>
      <c r="C86" s="81"/>
      <c r="D86" s="44"/>
      <c r="E86" s="44"/>
      <c r="F86" s="44"/>
      <c r="G86" s="65"/>
      <c r="H86" s="44"/>
    </row>
    <row r="87" spans="2:9" x14ac:dyDescent="0.25">
      <c r="B87" s="65"/>
      <c r="C87" s="65"/>
      <c r="D87" s="44"/>
      <c r="E87" s="44"/>
      <c r="F87" s="44"/>
      <c r="G87" s="44"/>
      <c r="H87" s="44"/>
    </row>
  </sheetData>
  <sheetProtection algorithmName="SHA-512" hashValue="pYSkswow3p81hx2Pa/iihd0KpokpQaekuNft+J1gKwyqncSPuqU7qlim0NMQAp70g5UWYNr80yPCTg+QhayitQ==" saltValue="ifGmwN5dVx8Q0PoaOXQb9A==" spinCount="100000" sheet="1" objects="1" scenarios="1"/>
  <mergeCells count="2">
    <mergeCell ref="B4:H4"/>
    <mergeCell ref="B48:H48"/>
  </mergeCells>
  <pageMargins left="0.2" right="0.2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zoomScale="85" zoomScaleNormal="85" workbookViewId="0">
      <pane xSplit="3" ySplit="12" topLeftCell="D13" activePane="bottomRight" state="frozen"/>
      <selection pane="topRight" activeCell="D1" sqref="D1"/>
      <selection pane="bottomLeft" activeCell="A14" sqref="A14"/>
      <selection pane="bottomRight" activeCell="N34" sqref="N34"/>
    </sheetView>
  </sheetViews>
  <sheetFormatPr defaultColWidth="9.109375" defaultRowHeight="13.8" x14ac:dyDescent="0.25"/>
  <cols>
    <col min="1" max="1" width="4.33203125" style="24" customWidth="1"/>
    <col min="2" max="2" width="1.5546875" style="24" customWidth="1"/>
    <col min="3" max="3" width="18.5546875" style="24" customWidth="1"/>
    <col min="4" max="4" width="4.33203125" style="24" customWidth="1"/>
    <col min="5" max="10" width="12.44140625" style="43" bestFit="1" customWidth="1"/>
    <col min="11" max="11" width="8.44140625" style="49" bestFit="1" customWidth="1"/>
    <col min="12" max="12" width="12.44140625" style="43" bestFit="1" customWidth="1"/>
    <col min="13" max="13" width="10.6640625" style="31" bestFit="1" customWidth="1"/>
    <col min="14" max="14" width="7.5546875" style="24" customWidth="1"/>
    <col min="15" max="15" width="2.6640625" style="24" customWidth="1"/>
    <col min="16" max="16" width="13.88671875" style="24" bestFit="1" customWidth="1"/>
    <col min="17" max="17" width="10.6640625" style="24" bestFit="1" customWidth="1"/>
    <col min="18" max="16384" width="9.109375" style="24"/>
  </cols>
  <sheetData>
    <row r="1" spans="1:17" x14ac:dyDescent="0.25">
      <c r="N1" s="42"/>
    </row>
    <row r="2" spans="1:17" x14ac:dyDescent="0.25">
      <c r="N2" s="25" t="s">
        <v>34</v>
      </c>
    </row>
    <row r="3" spans="1:17" x14ac:dyDescent="0.25">
      <c r="N3" s="25" t="s">
        <v>208</v>
      </c>
    </row>
    <row r="5" spans="1:17" x14ac:dyDescent="0.25">
      <c r="E5" s="45" t="s">
        <v>194</v>
      </c>
      <c r="F5" s="45"/>
      <c r="G5" s="45"/>
      <c r="H5" s="45"/>
      <c r="I5" s="45"/>
      <c r="J5" s="45"/>
      <c r="K5" s="50"/>
      <c r="L5" s="45"/>
      <c r="M5" s="45"/>
      <c r="N5" s="45"/>
    </row>
    <row r="7" spans="1:17" x14ac:dyDescent="0.25">
      <c r="E7" s="46" t="s">
        <v>13</v>
      </c>
      <c r="F7" s="46" t="s">
        <v>14</v>
      </c>
      <c r="G7" s="46" t="s">
        <v>15</v>
      </c>
      <c r="H7" s="46" t="s">
        <v>16</v>
      </c>
      <c r="I7" s="46" t="s">
        <v>17</v>
      </c>
      <c r="J7" s="46" t="s">
        <v>18</v>
      </c>
      <c r="K7" s="51" t="s">
        <v>19</v>
      </c>
      <c r="L7" s="46" t="s">
        <v>23</v>
      </c>
      <c r="M7" s="46" t="s">
        <v>31</v>
      </c>
      <c r="N7" s="46" t="s">
        <v>32</v>
      </c>
    </row>
    <row r="8" spans="1:17" ht="6" customHeight="1" x14ac:dyDescent="0.25">
      <c r="E8" s="46"/>
      <c r="F8" s="46"/>
      <c r="G8" s="46"/>
      <c r="H8" s="46"/>
      <c r="I8" s="46"/>
      <c r="J8" s="46"/>
      <c r="K8" s="51"/>
      <c r="L8" s="46"/>
    </row>
    <row r="9" spans="1:17" x14ac:dyDescent="0.25">
      <c r="E9" s="46"/>
      <c r="F9" s="46"/>
      <c r="G9" s="46" t="s">
        <v>21</v>
      </c>
      <c r="H9" s="46"/>
      <c r="I9" s="46"/>
      <c r="J9" s="46" t="s">
        <v>20</v>
      </c>
      <c r="K9" s="51" t="s">
        <v>33</v>
      </c>
      <c r="L9" s="52" t="s">
        <v>25</v>
      </c>
    </row>
    <row r="10" spans="1:17" ht="6" customHeight="1" x14ac:dyDescent="0.25">
      <c r="E10" s="47"/>
      <c r="F10" s="47"/>
      <c r="G10" s="47"/>
      <c r="H10" s="47"/>
      <c r="I10" s="47"/>
      <c r="J10" s="47"/>
      <c r="K10" s="53"/>
    </row>
    <row r="11" spans="1:17" x14ac:dyDescent="0.25">
      <c r="E11" s="42"/>
      <c r="F11" s="42"/>
      <c r="G11" s="42"/>
      <c r="H11" s="42"/>
      <c r="I11" s="42"/>
      <c r="J11" s="42" t="s">
        <v>11</v>
      </c>
      <c r="K11" s="54" t="s">
        <v>10</v>
      </c>
      <c r="L11" s="42" t="s">
        <v>24</v>
      </c>
      <c r="N11" s="42" t="s">
        <v>30</v>
      </c>
    </row>
    <row r="12" spans="1:17" s="20" customFormat="1" x14ac:dyDescent="0.25">
      <c r="C12" s="20" t="s">
        <v>12</v>
      </c>
      <c r="E12" s="38" t="s">
        <v>177</v>
      </c>
      <c r="F12" s="38" t="s">
        <v>7</v>
      </c>
      <c r="G12" s="38" t="s">
        <v>8</v>
      </c>
      <c r="H12" s="38" t="s">
        <v>10</v>
      </c>
      <c r="I12" s="38" t="s">
        <v>9</v>
      </c>
      <c r="J12" s="38" t="s">
        <v>10</v>
      </c>
      <c r="K12" s="39" t="s">
        <v>22</v>
      </c>
      <c r="L12" s="38" t="s">
        <v>9</v>
      </c>
      <c r="M12" s="105" t="s">
        <v>28</v>
      </c>
      <c r="N12" s="21" t="s">
        <v>29</v>
      </c>
      <c r="O12" s="41"/>
    </row>
    <row r="13" spans="1:17" x14ac:dyDescent="0.25">
      <c r="A13" s="24">
        <v>1</v>
      </c>
      <c r="B13" s="24" t="s">
        <v>27</v>
      </c>
      <c r="C13" s="24" t="s">
        <v>40</v>
      </c>
      <c r="D13" s="24" t="s">
        <v>41</v>
      </c>
      <c r="E13" s="106">
        <v>151126</v>
      </c>
      <c r="F13" s="106">
        <v>29409</v>
      </c>
      <c r="G13" s="42">
        <f t="shared" ref="G13:G32" si="0">+F13+E13</f>
        <v>180535</v>
      </c>
      <c r="H13" s="106">
        <v>16852</v>
      </c>
      <c r="I13" s="106">
        <v>10434</v>
      </c>
      <c r="J13" s="43">
        <f>G13-H13</f>
        <v>163683</v>
      </c>
      <c r="K13" s="49">
        <f>H13/J13</f>
        <v>0.10299999999999999</v>
      </c>
      <c r="L13" s="43">
        <f>I13*(1+K13)</f>
        <v>11509</v>
      </c>
      <c r="M13" s="109">
        <v>2379</v>
      </c>
      <c r="N13" s="55">
        <f>L13/M13</f>
        <v>4.84</v>
      </c>
      <c r="O13" s="80"/>
      <c r="P13" s="31"/>
      <c r="Q13" s="43"/>
    </row>
    <row r="14" spans="1:17" x14ac:dyDescent="0.25">
      <c r="A14" s="24">
        <v>2</v>
      </c>
      <c r="B14" s="24" t="s">
        <v>27</v>
      </c>
      <c r="C14" s="24" t="s">
        <v>192</v>
      </c>
      <c r="D14" s="24" t="s">
        <v>42</v>
      </c>
      <c r="E14" s="106">
        <v>624374</v>
      </c>
      <c r="F14" s="106">
        <f>80671+73067+112895+130546</f>
        <v>397179</v>
      </c>
      <c r="G14" s="42">
        <f t="shared" si="0"/>
        <v>1021553</v>
      </c>
      <c r="H14" s="106">
        <v>243723</v>
      </c>
      <c r="I14" s="106">
        <v>345520</v>
      </c>
      <c r="J14" s="43">
        <f t="shared" ref="J14:J32" si="1">G14-H14</f>
        <v>777830</v>
      </c>
      <c r="K14" s="49">
        <f t="shared" ref="K14:K32" si="2">H14/J14</f>
        <v>0.31330000000000002</v>
      </c>
      <c r="L14" s="43">
        <f t="shared" ref="L14:L32" si="3">I14*(1+K14)</f>
        <v>453771</v>
      </c>
      <c r="M14" s="109">
        <v>18018</v>
      </c>
      <c r="N14" s="55">
        <f t="shared" ref="N14:N32" si="4">L14/M14</f>
        <v>25.18</v>
      </c>
      <c r="O14" s="80"/>
      <c r="P14" s="31"/>
      <c r="Q14" s="43"/>
    </row>
    <row r="15" spans="1:17" x14ac:dyDescent="0.25">
      <c r="A15" s="24">
        <v>3</v>
      </c>
      <c r="B15" s="24" t="s">
        <v>27</v>
      </c>
      <c r="C15" s="24" t="s">
        <v>122</v>
      </c>
      <c r="D15" s="24" t="s">
        <v>43</v>
      </c>
      <c r="E15" s="106">
        <v>4679323</v>
      </c>
      <c r="F15" s="106">
        <v>3574623</v>
      </c>
      <c r="G15" s="42">
        <f t="shared" si="0"/>
        <v>8253946</v>
      </c>
      <c r="H15" s="106">
        <v>2193507</v>
      </c>
      <c r="I15" s="106">
        <v>3109689</v>
      </c>
      <c r="J15" s="43">
        <f t="shared" si="1"/>
        <v>6060439</v>
      </c>
      <c r="K15" s="49">
        <f t="shared" si="2"/>
        <v>0.3619</v>
      </c>
      <c r="L15" s="43">
        <f t="shared" si="3"/>
        <v>4235085</v>
      </c>
      <c r="M15" s="109">
        <v>165018</v>
      </c>
      <c r="N15" s="55">
        <f t="shared" si="4"/>
        <v>25.66</v>
      </c>
      <c r="O15" s="80"/>
      <c r="P15" s="31"/>
      <c r="Q15" s="43"/>
    </row>
    <row r="16" spans="1:17" x14ac:dyDescent="0.25">
      <c r="A16" s="24">
        <v>4</v>
      </c>
      <c r="B16" s="24" t="s">
        <v>27</v>
      </c>
      <c r="C16" s="24" t="s">
        <v>0</v>
      </c>
      <c r="D16" s="24" t="s">
        <v>46</v>
      </c>
      <c r="E16" s="106">
        <v>24291806</v>
      </c>
      <c r="F16" s="106">
        <v>7539408</v>
      </c>
      <c r="G16" s="42">
        <f t="shared" si="0"/>
        <v>31831214</v>
      </c>
      <c r="H16" s="106">
        <v>2637633</v>
      </c>
      <c r="I16" s="106">
        <v>4436573</v>
      </c>
      <c r="J16" s="43">
        <f t="shared" si="1"/>
        <v>29193581</v>
      </c>
      <c r="K16" s="49">
        <f t="shared" si="2"/>
        <v>9.0300000000000005E-2</v>
      </c>
      <c r="L16" s="43">
        <f t="shared" si="3"/>
        <v>4837196</v>
      </c>
      <c r="M16" s="109">
        <v>314184</v>
      </c>
      <c r="N16" s="55">
        <f t="shared" si="4"/>
        <v>15.4</v>
      </c>
      <c r="O16" s="80"/>
      <c r="P16" s="31"/>
      <c r="Q16" s="43"/>
    </row>
    <row r="17" spans="1:17" x14ac:dyDescent="0.25">
      <c r="A17" s="24">
        <v>5</v>
      </c>
      <c r="B17" s="24" t="s">
        <v>27</v>
      </c>
      <c r="C17" s="24" t="s">
        <v>189</v>
      </c>
      <c r="D17" s="24" t="s">
        <v>165</v>
      </c>
      <c r="E17" s="106">
        <f>1280861+1011343</f>
        <v>2292204</v>
      </c>
      <c r="F17" s="106">
        <v>5582464</v>
      </c>
      <c r="G17" s="42">
        <f t="shared" si="0"/>
        <v>7874668</v>
      </c>
      <c r="H17" s="106">
        <f>1097482*0.348</f>
        <v>381924</v>
      </c>
      <c r="I17" s="106">
        <f>5609856*0.348</f>
        <v>1952230</v>
      </c>
      <c r="J17" s="43">
        <f t="shared" si="1"/>
        <v>7492744</v>
      </c>
      <c r="K17" s="49">
        <f t="shared" si="2"/>
        <v>5.0999999999999997E-2</v>
      </c>
      <c r="L17" s="111">
        <f t="shared" si="3"/>
        <v>2051794</v>
      </c>
      <c r="M17" s="110">
        <v>19875</v>
      </c>
      <c r="N17" s="57">
        <f t="shared" si="4"/>
        <v>103.23</v>
      </c>
      <c r="O17" s="80"/>
      <c r="P17" s="31"/>
      <c r="Q17" s="43"/>
    </row>
    <row r="18" spans="1:17" x14ac:dyDescent="0.25">
      <c r="A18" s="24">
        <v>6</v>
      </c>
      <c r="B18" s="24" t="s">
        <v>27</v>
      </c>
      <c r="C18" s="24" t="s">
        <v>123</v>
      </c>
      <c r="D18" s="24" t="s">
        <v>48</v>
      </c>
      <c r="E18" s="106">
        <v>23998871</v>
      </c>
      <c r="F18" s="106">
        <v>5716366</v>
      </c>
      <c r="G18" s="42">
        <f t="shared" si="0"/>
        <v>29715237</v>
      </c>
      <c r="H18" s="106">
        <v>3310768</v>
      </c>
      <c r="I18" s="106">
        <v>3149966</v>
      </c>
      <c r="J18" s="43">
        <f t="shared" si="1"/>
        <v>26404469</v>
      </c>
      <c r="K18" s="49">
        <f t="shared" si="2"/>
        <v>0.12540000000000001</v>
      </c>
      <c r="L18" s="43">
        <f t="shared" si="3"/>
        <v>3544972</v>
      </c>
      <c r="M18" s="109">
        <v>347392</v>
      </c>
      <c r="N18" s="55">
        <f t="shared" si="4"/>
        <v>10.199999999999999</v>
      </c>
      <c r="O18" s="80"/>
      <c r="P18" s="31"/>
      <c r="Q18" s="43"/>
    </row>
    <row r="19" spans="1:17" x14ac:dyDescent="0.25">
      <c r="A19" s="24">
        <v>7</v>
      </c>
      <c r="B19" s="24" t="s">
        <v>27</v>
      </c>
      <c r="C19" s="44" t="s">
        <v>1</v>
      </c>
      <c r="D19" s="44" t="s">
        <v>49</v>
      </c>
      <c r="E19" s="107">
        <v>62015435</v>
      </c>
      <c r="F19" s="107">
        <v>17894292</v>
      </c>
      <c r="G19" s="42">
        <f t="shared" si="0"/>
        <v>79909727</v>
      </c>
      <c r="H19" s="108">
        <v>9037538</v>
      </c>
      <c r="I19" s="107">
        <v>15408490</v>
      </c>
      <c r="J19" s="43">
        <f t="shared" si="1"/>
        <v>70872189</v>
      </c>
      <c r="K19" s="49">
        <f t="shared" si="2"/>
        <v>0.1275</v>
      </c>
      <c r="L19" s="43">
        <f t="shared" si="3"/>
        <v>17373072</v>
      </c>
      <c r="M19" s="109">
        <v>742686</v>
      </c>
      <c r="N19" s="55">
        <f t="shared" si="4"/>
        <v>23.39</v>
      </c>
      <c r="O19" s="80"/>
      <c r="P19" s="31"/>
      <c r="Q19" s="43"/>
    </row>
    <row r="20" spans="1:17" x14ac:dyDescent="0.25">
      <c r="A20" s="24">
        <v>8</v>
      </c>
      <c r="B20" s="24" t="s">
        <v>27</v>
      </c>
      <c r="C20" s="24" t="s">
        <v>2</v>
      </c>
      <c r="D20" s="24" t="s">
        <v>51</v>
      </c>
      <c r="E20" s="106">
        <v>2562347</v>
      </c>
      <c r="F20" s="106">
        <v>257040</v>
      </c>
      <c r="G20" s="42">
        <f t="shared" si="0"/>
        <v>2819387</v>
      </c>
      <c r="H20" s="106">
        <v>105056</v>
      </c>
      <c r="I20" s="106">
        <v>143126</v>
      </c>
      <c r="J20" s="43">
        <f t="shared" si="1"/>
        <v>2714331</v>
      </c>
      <c r="K20" s="49">
        <f t="shared" si="2"/>
        <v>3.8699999999999998E-2</v>
      </c>
      <c r="L20" s="43">
        <f t="shared" si="3"/>
        <v>148665</v>
      </c>
      <c r="M20" s="109">
        <v>39463</v>
      </c>
      <c r="N20" s="55">
        <f t="shared" si="4"/>
        <v>3.77</v>
      </c>
      <c r="O20" s="80"/>
      <c r="P20" s="31"/>
      <c r="Q20" s="43"/>
    </row>
    <row r="21" spans="1:17" x14ac:dyDescent="0.25">
      <c r="A21" s="24">
        <v>9</v>
      </c>
      <c r="B21" s="24" t="s">
        <v>27</v>
      </c>
      <c r="C21" s="24" t="s">
        <v>150</v>
      </c>
      <c r="D21" s="24" t="s">
        <v>149</v>
      </c>
      <c r="E21" s="106">
        <v>2898230</v>
      </c>
      <c r="F21" s="106">
        <v>1041134</v>
      </c>
      <c r="G21" s="42">
        <f t="shared" si="0"/>
        <v>3939364</v>
      </c>
      <c r="H21" s="106">
        <v>1164468</v>
      </c>
      <c r="I21" s="106">
        <v>979779</v>
      </c>
      <c r="J21" s="43">
        <f t="shared" si="1"/>
        <v>2774896</v>
      </c>
      <c r="K21" s="49">
        <f t="shared" si="2"/>
        <v>0.41959999999999997</v>
      </c>
      <c r="L21" s="43">
        <f t="shared" si="3"/>
        <v>1390894</v>
      </c>
      <c r="M21" s="109">
        <v>48147</v>
      </c>
      <c r="N21" s="55">
        <f t="shared" si="4"/>
        <v>28.89</v>
      </c>
      <c r="O21" s="80"/>
      <c r="P21" s="31"/>
      <c r="Q21" s="43"/>
    </row>
    <row r="22" spans="1:17" x14ac:dyDescent="0.25">
      <c r="A22" s="24">
        <v>10</v>
      </c>
      <c r="B22" s="24" t="s">
        <v>27</v>
      </c>
      <c r="C22" s="24" t="s">
        <v>148</v>
      </c>
      <c r="D22" s="24" t="s">
        <v>53</v>
      </c>
      <c r="E22" s="106">
        <v>2242670</v>
      </c>
      <c r="F22" s="106">
        <v>843742</v>
      </c>
      <c r="G22" s="42">
        <f t="shared" si="0"/>
        <v>3086412</v>
      </c>
      <c r="H22" s="106">
        <v>318317</v>
      </c>
      <c r="I22" s="106">
        <v>580455</v>
      </c>
      <c r="J22" s="43">
        <f t="shared" si="1"/>
        <v>2768095</v>
      </c>
      <c r="K22" s="49">
        <f t="shared" si="2"/>
        <v>0.115</v>
      </c>
      <c r="L22" s="43">
        <f t="shared" si="3"/>
        <v>647207</v>
      </c>
      <c r="M22" s="109">
        <v>49676</v>
      </c>
      <c r="N22" s="55">
        <f t="shared" si="4"/>
        <v>13.03</v>
      </c>
      <c r="O22" s="80"/>
      <c r="P22" s="31"/>
      <c r="Q22" s="43"/>
    </row>
    <row r="23" spans="1:17" x14ac:dyDescent="0.25">
      <c r="A23" s="24">
        <v>11</v>
      </c>
      <c r="B23" s="24" t="s">
        <v>27</v>
      </c>
      <c r="C23" s="24" t="s">
        <v>3</v>
      </c>
      <c r="D23" s="24" t="s">
        <v>55</v>
      </c>
      <c r="E23" s="106">
        <v>1360198</v>
      </c>
      <c r="F23" s="106">
        <v>543132</v>
      </c>
      <c r="G23" s="42">
        <f t="shared" si="0"/>
        <v>1903330</v>
      </c>
      <c r="H23" s="106">
        <v>230981</v>
      </c>
      <c r="I23" s="106">
        <v>411432</v>
      </c>
      <c r="J23" s="43">
        <f t="shared" si="1"/>
        <v>1672349</v>
      </c>
      <c r="K23" s="49">
        <f t="shared" si="2"/>
        <v>0.1381</v>
      </c>
      <c r="L23" s="43">
        <f t="shared" si="3"/>
        <v>468251</v>
      </c>
      <c r="M23" s="109">
        <v>29320</v>
      </c>
      <c r="N23" s="55">
        <f t="shared" si="4"/>
        <v>15.97</v>
      </c>
      <c r="O23" s="80"/>
      <c r="P23" s="31"/>
      <c r="Q23" s="43"/>
    </row>
    <row r="24" spans="1:17" x14ac:dyDescent="0.25">
      <c r="A24" s="24">
        <v>12</v>
      </c>
      <c r="B24" s="24" t="s">
        <v>27</v>
      </c>
      <c r="C24" s="24" t="s">
        <v>65</v>
      </c>
      <c r="D24" s="24" t="s">
        <v>56</v>
      </c>
      <c r="E24" s="106">
        <v>29113072</v>
      </c>
      <c r="F24" s="106">
        <v>10220447</v>
      </c>
      <c r="G24" s="42">
        <f t="shared" si="0"/>
        <v>39333519</v>
      </c>
      <c r="H24" s="106">
        <v>7105304</v>
      </c>
      <c r="I24" s="106">
        <v>5971724</v>
      </c>
      <c r="J24" s="43">
        <f t="shared" si="1"/>
        <v>32228215</v>
      </c>
      <c r="K24" s="49">
        <f t="shared" si="2"/>
        <v>0.2205</v>
      </c>
      <c r="L24" s="43">
        <f t="shared" si="3"/>
        <v>7288489</v>
      </c>
      <c r="M24" s="109">
        <v>144780</v>
      </c>
      <c r="N24" s="55">
        <f t="shared" si="4"/>
        <v>50.34</v>
      </c>
      <c r="O24" s="80"/>
      <c r="P24" s="31"/>
      <c r="Q24" s="43"/>
    </row>
    <row r="25" spans="1:17" x14ac:dyDescent="0.25">
      <c r="A25" s="24">
        <v>13</v>
      </c>
      <c r="B25" s="24" t="s">
        <v>27</v>
      </c>
      <c r="C25" s="24" t="s">
        <v>163</v>
      </c>
      <c r="D25" s="24" t="s">
        <v>44</v>
      </c>
      <c r="E25" s="106">
        <v>13238300</v>
      </c>
      <c r="F25" s="106">
        <v>3594272</v>
      </c>
      <c r="G25" s="42">
        <f t="shared" si="0"/>
        <v>16832572</v>
      </c>
      <c r="H25" s="106">
        <v>3949553</v>
      </c>
      <c r="I25" s="106">
        <v>3580728</v>
      </c>
      <c r="J25" s="43">
        <f t="shared" si="1"/>
        <v>12883019</v>
      </c>
      <c r="K25" s="49">
        <f t="shared" si="2"/>
        <v>0.30659999999999998</v>
      </c>
      <c r="L25" s="43">
        <f t="shared" si="3"/>
        <v>4678579</v>
      </c>
      <c r="M25" s="109">
        <v>183564</v>
      </c>
      <c r="N25" s="55">
        <f t="shared" si="4"/>
        <v>25.49</v>
      </c>
      <c r="O25" s="80"/>
      <c r="P25" s="31"/>
      <c r="Q25" s="43"/>
    </row>
    <row r="26" spans="1:17" x14ac:dyDescent="0.25">
      <c r="A26" s="24">
        <v>14</v>
      </c>
      <c r="B26" s="24" t="s">
        <v>27</v>
      </c>
      <c r="C26" s="24" t="s">
        <v>4</v>
      </c>
      <c r="D26" s="24" t="s">
        <v>58</v>
      </c>
      <c r="E26" s="106">
        <v>1133539</v>
      </c>
      <c r="F26" s="106">
        <v>754325</v>
      </c>
      <c r="G26" s="42">
        <f t="shared" si="0"/>
        <v>1887864</v>
      </c>
      <c r="H26" s="106">
        <v>142904</v>
      </c>
      <c r="I26" s="106">
        <v>549725</v>
      </c>
      <c r="J26" s="43">
        <f t="shared" si="1"/>
        <v>1744960</v>
      </c>
      <c r="K26" s="49">
        <f t="shared" si="2"/>
        <v>8.1900000000000001E-2</v>
      </c>
      <c r="L26" s="43">
        <f t="shared" si="3"/>
        <v>594747</v>
      </c>
      <c r="M26" s="109">
        <v>43545</v>
      </c>
      <c r="N26" s="55">
        <f t="shared" si="4"/>
        <v>13.66</v>
      </c>
      <c r="O26" s="80"/>
      <c r="P26" s="31"/>
      <c r="Q26" s="43"/>
    </row>
    <row r="27" spans="1:17" x14ac:dyDescent="0.25">
      <c r="A27" s="24">
        <v>15</v>
      </c>
      <c r="B27" s="24" t="s">
        <v>27</v>
      </c>
      <c r="C27" s="24" t="s">
        <v>5</v>
      </c>
      <c r="D27" s="24" t="s">
        <v>60</v>
      </c>
      <c r="E27" s="106">
        <v>1008401</v>
      </c>
      <c r="F27" s="106">
        <v>159460</v>
      </c>
      <c r="G27" s="42">
        <f t="shared" si="0"/>
        <v>1167861</v>
      </c>
      <c r="H27" s="106">
        <v>276003</v>
      </c>
      <c r="I27" s="106">
        <v>130842</v>
      </c>
      <c r="J27" s="43">
        <f t="shared" si="1"/>
        <v>891858</v>
      </c>
      <c r="K27" s="49">
        <f t="shared" si="2"/>
        <v>0.3095</v>
      </c>
      <c r="L27" s="43">
        <f t="shared" si="3"/>
        <v>171338</v>
      </c>
      <c r="M27" s="109">
        <v>9133</v>
      </c>
      <c r="N27" s="55">
        <f t="shared" si="4"/>
        <v>18.760000000000002</v>
      </c>
      <c r="O27" s="80"/>
      <c r="P27" s="31"/>
      <c r="Q27" s="43"/>
    </row>
    <row r="28" spans="1:17" x14ac:dyDescent="0.25">
      <c r="A28" s="24">
        <v>16</v>
      </c>
      <c r="C28" s="24" t="s">
        <v>190</v>
      </c>
      <c r="D28" s="24" t="s">
        <v>57</v>
      </c>
      <c r="E28" s="106">
        <v>1072354</v>
      </c>
      <c r="F28" s="106">
        <v>673977</v>
      </c>
      <c r="G28" s="42">
        <f t="shared" si="0"/>
        <v>1746331</v>
      </c>
      <c r="H28" s="106">
        <v>189061</v>
      </c>
      <c r="I28" s="106">
        <v>354326</v>
      </c>
      <c r="J28" s="43">
        <f t="shared" si="1"/>
        <v>1557270</v>
      </c>
      <c r="K28" s="49">
        <f t="shared" si="2"/>
        <v>0.12139999999999999</v>
      </c>
      <c r="L28" s="43">
        <f t="shared" si="3"/>
        <v>397341</v>
      </c>
      <c r="M28" s="109">
        <v>20477</v>
      </c>
      <c r="N28" s="55">
        <f t="shared" si="4"/>
        <v>19.399999999999999</v>
      </c>
      <c r="O28" s="80"/>
      <c r="P28" s="31"/>
      <c r="Q28" s="43"/>
    </row>
    <row r="29" spans="1:17" x14ac:dyDescent="0.25">
      <c r="A29" s="24">
        <v>17</v>
      </c>
      <c r="B29" s="24" t="s">
        <v>27</v>
      </c>
      <c r="C29" s="24" t="s">
        <v>155</v>
      </c>
      <c r="D29" s="24" t="s">
        <v>62</v>
      </c>
      <c r="E29" s="106">
        <v>5364016</v>
      </c>
      <c r="F29" s="106">
        <v>1714695</v>
      </c>
      <c r="G29" s="42">
        <f t="shared" si="0"/>
        <v>7078711</v>
      </c>
      <c r="H29" s="106">
        <v>814727</v>
      </c>
      <c r="I29" s="106">
        <v>1064983</v>
      </c>
      <c r="J29" s="43">
        <f t="shared" si="1"/>
        <v>6263984</v>
      </c>
      <c r="K29" s="49">
        <f t="shared" si="2"/>
        <v>0.13009999999999999</v>
      </c>
      <c r="L29" s="43">
        <f t="shared" si="3"/>
        <v>1203537</v>
      </c>
      <c r="M29" s="109">
        <v>50084</v>
      </c>
      <c r="N29" s="55">
        <f t="shared" si="4"/>
        <v>24.03</v>
      </c>
      <c r="P29" s="31"/>
    </row>
    <row r="30" spans="1:17" x14ac:dyDescent="0.25">
      <c r="A30" s="24">
        <v>18</v>
      </c>
      <c r="B30" s="24" t="s">
        <v>27</v>
      </c>
      <c r="C30" s="24" t="s">
        <v>146</v>
      </c>
      <c r="D30" s="24" t="s">
        <v>63</v>
      </c>
      <c r="E30" s="106">
        <v>4753654</v>
      </c>
      <c r="F30" s="106">
        <v>517208</v>
      </c>
      <c r="G30" s="42">
        <f t="shared" si="0"/>
        <v>5270862</v>
      </c>
      <c r="H30" s="106">
        <v>328403</v>
      </c>
      <c r="I30" s="106">
        <v>242230</v>
      </c>
      <c r="J30" s="43">
        <f t="shared" si="1"/>
        <v>4942459</v>
      </c>
      <c r="K30" s="49">
        <f t="shared" si="2"/>
        <v>6.6400000000000001E-2</v>
      </c>
      <c r="L30" s="43">
        <f t="shared" si="3"/>
        <v>258314</v>
      </c>
      <c r="M30" s="109">
        <v>44896</v>
      </c>
      <c r="N30" s="55">
        <f t="shared" si="4"/>
        <v>5.75</v>
      </c>
    </row>
    <row r="31" spans="1:17" x14ac:dyDescent="0.25">
      <c r="A31" s="24">
        <v>19</v>
      </c>
      <c r="B31" s="24" t="s">
        <v>27</v>
      </c>
      <c r="C31" s="24" t="s">
        <v>6</v>
      </c>
      <c r="D31" s="24" t="s">
        <v>64</v>
      </c>
      <c r="E31" s="106">
        <v>11891988</v>
      </c>
      <c r="F31" s="106">
        <f>800771+727137+824216+869670</f>
        <v>3221794</v>
      </c>
      <c r="G31" s="42">
        <f t="shared" si="0"/>
        <v>15113782</v>
      </c>
      <c r="H31" s="106">
        <f>-33492+451993+319690+2366</f>
        <v>740557</v>
      </c>
      <c r="I31" s="106">
        <f>568110+535291+605455+674520</f>
        <v>2383376</v>
      </c>
      <c r="J31" s="43">
        <f t="shared" si="1"/>
        <v>14373225</v>
      </c>
      <c r="K31" s="49">
        <f t="shared" si="2"/>
        <v>5.1499999999999997E-2</v>
      </c>
      <c r="L31" s="43">
        <f t="shared" si="3"/>
        <v>2506120</v>
      </c>
      <c r="M31" s="109">
        <v>143057</v>
      </c>
      <c r="N31" s="55">
        <f t="shared" si="4"/>
        <v>17.52</v>
      </c>
    </row>
    <row r="32" spans="1:17" ht="15" customHeight="1" x14ac:dyDescent="0.25">
      <c r="A32" s="24">
        <v>20</v>
      </c>
      <c r="B32" s="24" t="s">
        <v>27</v>
      </c>
      <c r="C32" s="24" t="s">
        <v>191</v>
      </c>
      <c r="D32" s="24" t="s">
        <v>56</v>
      </c>
      <c r="E32" s="106">
        <v>4536745</v>
      </c>
      <c r="F32" s="106">
        <v>1447056</v>
      </c>
      <c r="G32" s="42">
        <f t="shared" si="0"/>
        <v>5983801</v>
      </c>
      <c r="H32" s="106">
        <v>294044</v>
      </c>
      <c r="I32" s="106">
        <v>1153012</v>
      </c>
      <c r="J32" s="43">
        <f t="shared" si="1"/>
        <v>5689757</v>
      </c>
      <c r="K32" s="49">
        <f t="shared" si="2"/>
        <v>5.1700000000000003E-2</v>
      </c>
      <c r="L32" s="43">
        <f t="shared" si="3"/>
        <v>1212623</v>
      </c>
      <c r="M32" s="109">
        <v>69423</v>
      </c>
      <c r="N32" s="55">
        <f t="shared" si="4"/>
        <v>17.47</v>
      </c>
    </row>
    <row r="33" spans="3:14" x14ac:dyDescent="0.25">
      <c r="C33" s="24" t="s">
        <v>143</v>
      </c>
      <c r="L33" s="43">
        <f>SUM(L13:L32)-L17</f>
        <v>51421710</v>
      </c>
      <c r="M33" s="31">
        <f>SUM(M13:M32)-M17</f>
        <v>2465242</v>
      </c>
      <c r="N33" s="58">
        <f>L33/M33</f>
        <v>20.86</v>
      </c>
    </row>
    <row r="34" spans="3:14" x14ac:dyDescent="0.25">
      <c r="N34" s="58"/>
    </row>
    <row r="35" spans="3:14" x14ac:dyDescent="0.25">
      <c r="C35" s="48" t="s">
        <v>200</v>
      </c>
      <c r="D35" s="48"/>
      <c r="E35" s="48"/>
      <c r="F35" s="48"/>
      <c r="G35" s="48"/>
      <c r="H35" s="48"/>
      <c r="I35" s="48"/>
      <c r="J35" s="37"/>
      <c r="M35" s="83"/>
      <c r="N35" s="55"/>
    </row>
    <row r="36" spans="3:14" x14ac:dyDescent="0.25">
      <c r="C36" s="82" t="s">
        <v>201</v>
      </c>
      <c r="D36" s="82"/>
      <c r="J36" s="42"/>
      <c r="M36" s="49"/>
      <c r="N36" s="55"/>
    </row>
    <row r="37" spans="3:14" x14ac:dyDescent="0.25">
      <c r="C37" s="43"/>
      <c r="D37" s="43"/>
      <c r="J37" s="42"/>
      <c r="M37" s="49"/>
      <c r="N37" s="55"/>
    </row>
    <row r="38" spans="3:14" x14ac:dyDescent="0.25">
      <c r="C38" s="1" t="s">
        <v>171</v>
      </c>
    </row>
    <row r="39" spans="3:14" x14ac:dyDescent="0.25">
      <c r="C39" s="1" t="s">
        <v>170</v>
      </c>
    </row>
  </sheetData>
  <sheetProtection algorithmName="SHA-512" hashValue="2g7nnOrZU+oWK75hozHLmk/f0eQL1trJeG96gSrtl18MuldXumAp2L3SqHxX4KX/mwyljU/yr6HY7Z+kWxFizg==" saltValue="KGYI3+LzkFXqX5nZeGBETA==" spinCount="100000" sheet="1" objects="1" scenarios="1"/>
  <pageMargins left="0.2" right="0.2" top="0.75" bottom="0.75" header="0.3" footer="0.3"/>
  <pageSetup scale="77"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showGridLines="0" zoomScale="70" zoomScaleNormal="70" workbookViewId="0">
      <selection activeCell="E10" sqref="E10"/>
    </sheetView>
  </sheetViews>
  <sheetFormatPr defaultColWidth="9.109375" defaultRowHeight="13.8" x14ac:dyDescent="0.25"/>
  <cols>
    <col min="1" max="1" width="3.88671875" style="1" customWidth="1"/>
    <col min="2" max="2" width="28.5546875" style="1" bestFit="1" customWidth="1"/>
    <col min="3" max="4" width="5.5546875" style="2" bestFit="1" customWidth="1"/>
    <col min="5" max="5" width="10.6640625" style="3" bestFit="1" customWidth="1"/>
    <col min="6" max="6" width="9.109375" style="4"/>
    <col min="7" max="7" width="11.109375" style="3" bestFit="1" customWidth="1"/>
    <col min="8" max="8" width="3.88671875" style="1" customWidth="1"/>
    <col min="9" max="9" width="36.33203125" style="1" bestFit="1" customWidth="1"/>
    <col min="10" max="10" width="5.6640625" style="1" bestFit="1" customWidth="1"/>
    <col min="11" max="11" width="5" style="1" bestFit="1" customWidth="1"/>
    <col min="12" max="12" width="8.33203125" style="1" bestFit="1" customWidth="1"/>
    <col min="13" max="13" width="7.109375" style="1" bestFit="1" customWidth="1"/>
    <col min="14" max="14" width="11.21875" style="1" bestFit="1" customWidth="1"/>
    <col min="15" max="16384" width="9.109375" style="1"/>
  </cols>
  <sheetData>
    <row r="1" spans="1:14" x14ac:dyDescent="0.25">
      <c r="M1" s="31"/>
      <c r="N1" s="42"/>
    </row>
    <row r="2" spans="1:14" x14ac:dyDescent="0.25">
      <c r="M2" s="31"/>
      <c r="N2" s="25" t="s">
        <v>34</v>
      </c>
    </row>
    <row r="3" spans="1:14" x14ac:dyDescent="0.25">
      <c r="M3" s="31"/>
      <c r="N3" s="25" t="s">
        <v>209</v>
      </c>
    </row>
    <row r="4" spans="1:14" x14ac:dyDescent="0.25">
      <c r="A4" s="138" t="s">
        <v>183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x14ac:dyDescent="0.25">
      <c r="C5" s="1"/>
      <c r="D5" s="1"/>
      <c r="E5" s="5"/>
      <c r="F5" s="6"/>
      <c r="G5" s="5"/>
    </row>
    <row r="6" spans="1:14" s="9" customFormat="1" x14ac:dyDescent="0.25">
      <c r="B6" s="20" t="s">
        <v>12</v>
      </c>
      <c r="C6" s="21" t="s">
        <v>35</v>
      </c>
      <c r="D6" s="21" t="s">
        <v>36</v>
      </c>
      <c r="E6" s="22" t="s">
        <v>37</v>
      </c>
      <c r="F6" s="23" t="s">
        <v>38</v>
      </c>
      <c r="G6" s="22" t="s">
        <v>39</v>
      </c>
      <c r="I6" s="20" t="s">
        <v>12</v>
      </c>
      <c r="J6" s="21" t="s">
        <v>35</v>
      </c>
      <c r="K6" s="21" t="s">
        <v>36</v>
      </c>
      <c r="L6" s="22" t="s">
        <v>37</v>
      </c>
      <c r="M6" s="23" t="s">
        <v>38</v>
      </c>
      <c r="N6" s="22" t="s">
        <v>39</v>
      </c>
    </row>
    <row r="7" spans="1:14" s="9" customFormat="1" x14ac:dyDescent="0.25">
      <c r="B7" s="24" t="s">
        <v>40</v>
      </c>
      <c r="C7" s="25" t="s">
        <v>41</v>
      </c>
      <c r="D7" s="25">
        <v>35</v>
      </c>
      <c r="E7" s="26">
        <v>571</v>
      </c>
      <c r="F7" s="27">
        <v>3.7</v>
      </c>
      <c r="G7" s="34">
        <f>E7*F7</f>
        <v>2113</v>
      </c>
      <c r="H7" s="1"/>
      <c r="I7" s="24" t="s">
        <v>52</v>
      </c>
      <c r="J7" s="25" t="s">
        <v>53</v>
      </c>
      <c r="K7" s="25">
        <v>33</v>
      </c>
      <c r="L7" s="26">
        <v>534</v>
      </c>
      <c r="M7" s="27">
        <v>3.3</v>
      </c>
      <c r="N7" s="26">
        <f t="shared" ref="N7:N11" si="0">L7*M7</f>
        <v>1762</v>
      </c>
    </row>
    <row r="8" spans="1:14" s="9" customFormat="1" x14ac:dyDescent="0.25">
      <c r="B8" s="20"/>
      <c r="C8" s="21"/>
      <c r="D8" s="25">
        <v>194</v>
      </c>
      <c r="E8" s="22">
        <v>36</v>
      </c>
      <c r="F8" s="27">
        <v>7.4</v>
      </c>
      <c r="G8" s="36">
        <f>E8*F8</f>
        <v>266</v>
      </c>
      <c r="H8" s="1"/>
      <c r="I8" s="24"/>
      <c r="J8" s="25"/>
      <c r="K8" s="25">
        <v>40</v>
      </c>
      <c r="L8" s="26">
        <v>1406</v>
      </c>
      <c r="M8" s="27">
        <v>5.0999999999999996</v>
      </c>
      <c r="N8" s="26">
        <f t="shared" si="0"/>
        <v>7171</v>
      </c>
    </row>
    <row r="9" spans="1:14" s="9" customFormat="1" x14ac:dyDescent="0.25">
      <c r="B9" s="20"/>
      <c r="C9" s="21"/>
      <c r="D9" s="25"/>
      <c r="E9" s="3">
        <f>SUM(E7:E8)</f>
        <v>607</v>
      </c>
      <c r="F9" s="4"/>
      <c r="G9" s="3">
        <f ca="1">SUM(G7:G9)</f>
        <v>2379</v>
      </c>
      <c r="H9" s="1"/>
      <c r="I9" s="24"/>
      <c r="J9" s="25"/>
      <c r="K9" s="25">
        <v>79</v>
      </c>
      <c r="L9" s="26">
        <v>6605</v>
      </c>
      <c r="M9" s="27">
        <v>3.6</v>
      </c>
      <c r="N9" s="26">
        <f t="shared" si="0"/>
        <v>23778</v>
      </c>
    </row>
    <row r="10" spans="1:14" s="9" customFormat="1" x14ac:dyDescent="0.25">
      <c r="B10" s="1" t="s">
        <v>127</v>
      </c>
      <c r="C10" s="10"/>
      <c r="D10" s="10"/>
      <c r="H10" s="1"/>
      <c r="I10" s="24"/>
      <c r="J10" s="25"/>
      <c r="K10" s="25">
        <v>131</v>
      </c>
      <c r="L10" s="26">
        <v>1193</v>
      </c>
      <c r="M10" s="27">
        <v>6.2</v>
      </c>
      <c r="N10" s="26">
        <f t="shared" si="0"/>
        <v>7397</v>
      </c>
    </row>
    <row r="11" spans="1:14" s="9" customFormat="1" x14ac:dyDescent="0.25">
      <c r="C11" s="10"/>
      <c r="D11" s="10"/>
      <c r="E11" s="11"/>
      <c r="F11" s="12"/>
      <c r="G11" s="11"/>
      <c r="H11" s="1"/>
      <c r="I11" s="24"/>
      <c r="J11" s="25"/>
      <c r="K11" s="25">
        <v>416</v>
      </c>
      <c r="L11" s="22">
        <v>1075</v>
      </c>
      <c r="M11" s="27">
        <v>8.9</v>
      </c>
      <c r="N11" s="22">
        <f t="shared" si="0"/>
        <v>9568</v>
      </c>
    </row>
    <row r="12" spans="1:14" s="9" customFormat="1" x14ac:dyDescent="0.25">
      <c r="B12" s="44" t="s">
        <v>193</v>
      </c>
      <c r="C12" s="33" t="s">
        <v>42</v>
      </c>
      <c r="D12" s="33">
        <v>35</v>
      </c>
      <c r="E12" s="34">
        <f>98+757</f>
        <v>855</v>
      </c>
      <c r="F12" s="35">
        <v>3.7</v>
      </c>
      <c r="G12" s="34">
        <f>E12*F12</f>
        <v>3164</v>
      </c>
      <c r="H12" s="1"/>
      <c r="I12" s="1" t="s">
        <v>167</v>
      </c>
      <c r="J12" s="25"/>
      <c r="K12" s="2"/>
      <c r="L12" s="3">
        <f>SUM(L7:L11)</f>
        <v>10813</v>
      </c>
      <c r="M12" s="4"/>
      <c r="N12" s="3">
        <f>SUM(N7:N11)</f>
        <v>49676</v>
      </c>
    </row>
    <row r="13" spans="1:14" x14ac:dyDescent="0.25">
      <c r="B13" s="44"/>
      <c r="C13" s="33"/>
      <c r="D13" s="33">
        <v>194</v>
      </c>
      <c r="E13" s="34">
        <v>29</v>
      </c>
      <c r="F13" s="35">
        <v>7.4</v>
      </c>
      <c r="G13" s="34">
        <f t="shared" ref="G13:G15" si="1">E13*F13</f>
        <v>215</v>
      </c>
      <c r="J13" s="25"/>
      <c r="K13" s="2"/>
      <c r="L13" s="3"/>
      <c r="M13" s="4"/>
      <c r="N13" s="3"/>
    </row>
    <row r="14" spans="1:14" x14ac:dyDescent="0.25">
      <c r="B14" s="44"/>
      <c r="C14" s="33"/>
      <c r="D14" s="33">
        <v>415</v>
      </c>
      <c r="E14" s="34">
        <v>1488</v>
      </c>
      <c r="F14" s="35">
        <v>9.1</v>
      </c>
      <c r="G14" s="34">
        <f t="shared" si="1"/>
        <v>13541</v>
      </c>
      <c r="I14" s="24" t="s">
        <v>54</v>
      </c>
      <c r="J14" s="25" t="s">
        <v>55</v>
      </c>
      <c r="K14" s="25">
        <v>40</v>
      </c>
      <c r="L14" s="22">
        <v>5749</v>
      </c>
      <c r="M14" s="27">
        <v>5.0999999999999996</v>
      </c>
      <c r="N14" s="22">
        <f>L14*M14</f>
        <v>29320</v>
      </c>
    </row>
    <row r="15" spans="1:14" x14ac:dyDescent="0.25">
      <c r="B15" s="44"/>
      <c r="C15" s="33"/>
      <c r="D15" s="33">
        <v>416</v>
      </c>
      <c r="E15" s="34">
        <v>60</v>
      </c>
      <c r="F15" s="35">
        <v>8.9</v>
      </c>
      <c r="G15" s="34">
        <f t="shared" si="1"/>
        <v>534</v>
      </c>
      <c r="I15" s="1" t="s">
        <v>135</v>
      </c>
      <c r="J15" s="25"/>
      <c r="K15" s="2"/>
      <c r="L15" s="3">
        <f>SUM(L14:L14)</f>
        <v>5749</v>
      </c>
      <c r="M15" s="4"/>
      <c r="N15" s="3">
        <f>SUM(N14:N14)</f>
        <v>29320</v>
      </c>
    </row>
    <row r="16" spans="1:14" x14ac:dyDescent="0.25">
      <c r="B16" s="44"/>
      <c r="C16" s="33"/>
      <c r="D16" s="33">
        <v>479</v>
      </c>
      <c r="E16" s="36">
        <v>57</v>
      </c>
      <c r="F16" s="35">
        <v>9.9</v>
      </c>
      <c r="G16" s="22">
        <f>E16*F16</f>
        <v>564</v>
      </c>
      <c r="J16" s="2"/>
      <c r="K16" s="2"/>
      <c r="L16" s="3"/>
      <c r="M16" s="4"/>
      <c r="N16" s="3"/>
    </row>
    <row r="17" spans="2:14" x14ac:dyDescent="0.25">
      <c r="B17" s="44"/>
      <c r="C17" s="33"/>
      <c r="D17" s="17"/>
      <c r="E17" s="59">
        <f>SUM(E11:E16)</f>
        <v>2489</v>
      </c>
      <c r="F17" s="60"/>
      <c r="G17" s="59">
        <f>SUM(G11:G16)</f>
        <v>18018</v>
      </c>
      <c r="H17" s="24"/>
      <c r="I17" s="24" t="s">
        <v>125</v>
      </c>
      <c r="J17" s="25" t="s">
        <v>56</v>
      </c>
      <c r="K17" s="25">
        <v>432</v>
      </c>
      <c r="L17" s="26">
        <v>4964</v>
      </c>
      <c r="M17" s="27">
        <v>26.8</v>
      </c>
      <c r="N17" s="34">
        <f t="shared" ref="N17:N18" si="2">L17*M17</f>
        <v>133035</v>
      </c>
    </row>
    <row r="18" spans="2:14" x14ac:dyDescent="0.25">
      <c r="B18" s="7" t="s">
        <v>128</v>
      </c>
      <c r="C18" s="17"/>
      <c r="D18" s="17"/>
      <c r="E18" s="59"/>
      <c r="F18" s="60"/>
      <c r="G18" s="59"/>
      <c r="H18" s="24"/>
      <c r="I18" s="24"/>
      <c r="J18" s="25"/>
      <c r="K18" s="25">
        <v>456</v>
      </c>
      <c r="L18" s="22">
        <v>405</v>
      </c>
      <c r="M18" s="24">
        <v>29</v>
      </c>
      <c r="N18" s="22">
        <f t="shared" si="2"/>
        <v>11745</v>
      </c>
    </row>
    <row r="19" spans="2:14" x14ac:dyDescent="0.25">
      <c r="B19" s="44"/>
      <c r="C19" s="33"/>
      <c r="D19" s="33"/>
      <c r="E19" s="34"/>
      <c r="F19" s="35"/>
      <c r="G19" s="34"/>
      <c r="H19" s="24"/>
      <c r="I19" s="1" t="s">
        <v>126</v>
      </c>
      <c r="J19" s="25"/>
      <c r="K19" s="25"/>
      <c r="L19" s="3">
        <f>SUM(L16:L18)</f>
        <v>5369</v>
      </c>
      <c r="M19" s="4"/>
      <c r="N19" s="3">
        <f>SUM(N16:N18)</f>
        <v>144780</v>
      </c>
    </row>
    <row r="20" spans="2:14" x14ac:dyDescent="0.25">
      <c r="B20" s="44" t="s">
        <v>129</v>
      </c>
      <c r="C20" s="33" t="s">
        <v>43</v>
      </c>
      <c r="D20" s="33">
        <v>35</v>
      </c>
      <c r="E20" s="34">
        <f>1600+2603</f>
        <v>4203</v>
      </c>
      <c r="F20" s="35">
        <v>3.7</v>
      </c>
      <c r="G20" s="34">
        <f t="shared" ref="G20:G25" si="3">E20*F20</f>
        <v>15551</v>
      </c>
      <c r="H20" s="24"/>
      <c r="I20" s="1" t="s">
        <v>126</v>
      </c>
      <c r="J20" s="2"/>
      <c r="K20" s="2"/>
      <c r="L20" s="3"/>
      <c r="M20" s="4"/>
      <c r="N20" s="3"/>
    </row>
    <row r="21" spans="2:14" x14ac:dyDescent="0.25">
      <c r="B21" s="44"/>
      <c r="C21" s="33"/>
      <c r="D21" s="33">
        <v>40</v>
      </c>
      <c r="E21" s="34">
        <v>2894</v>
      </c>
      <c r="F21" s="35">
        <v>5.0999999999999996</v>
      </c>
      <c r="G21" s="34">
        <f t="shared" si="3"/>
        <v>14759</v>
      </c>
      <c r="I21" s="24"/>
      <c r="J21" s="25"/>
      <c r="K21" s="25"/>
      <c r="L21" s="26"/>
      <c r="M21" s="27"/>
      <c r="N21" s="26"/>
    </row>
    <row r="22" spans="2:14" x14ac:dyDescent="0.25">
      <c r="B22" s="44"/>
      <c r="C22" s="33"/>
      <c r="D22" s="33">
        <v>194</v>
      </c>
      <c r="E22" s="34">
        <v>241</v>
      </c>
      <c r="F22" s="35">
        <v>7.4</v>
      </c>
      <c r="G22" s="34">
        <f t="shared" si="3"/>
        <v>1783</v>
      </c>
      <c r="I22" s="24" t="s">
        <v>163</v>
      </c>
      <c r="J22" s="25" t="s">
        <v>44</v>
      </c>
      <c r="K22" s="25">
        <v>35</v>
      </c>
      <c r="L22" s="26">
        <v>5575</v>
      </c>
      <c r="M22" s="27">
        <v>3.7</v>
      </c>
      <c r="N22" s="26">
        <f>L22*M22</f>
        <v>20628</v>
      </c>
    </row>
    <row r="23" spans="2:14" x14ac:dyDescent="0.25">
      <c r="B23" s="44"/>
      <c r="C23" s="33"/>
      <c r="D23" s="33">
        <v>415</v>
      </c>
      <c r="E23" s="34">
        <v>10464</v>
      </c>
      <c r="F23" s="35">
        <v>9.1</v>
      </c>
      <c r="G23" s="34">
        <f t="shared" si="3"/>
        <v>95222</v>
      </c>
      <c r="I23" s="24"/>
      <c r="J23" s="25"/>
      <c r="K23" s="25">
        <v>412</v>
      </c>
      <c r="L23" s="26">
        <v>6806</v>
      </c>
      <c r="M23" s="27">
        <v>17</v>
      </c>
      <c r="N23" s="26">
        <f>L23*M23</f>
        <v>115702</v>
      </c>
    </row>
    <row r="24" spans="2:14" x14ac:dyDescent="0.25">
      <c r="B24" s="44"/>
      <c r="C24" s="33"/>
      <c r="D24" s="33">
        <v>416</v>
      </c>
      <c r="E24" s="34">
        <v>1766</v>
      </c>
      <c r="F24" s="35">
        <v>9.1</v>
      </c>
      <c r="G24" s="34">
        <f t="shared" si="3"/>
        <v>16071</v>
      </c>
      <c r="I24" s="24"/>
      <c r="J24" s="25"/>
      <c r="K24" s="25">
        <v>416</v>
      </c>
      <c r="L24" s="26">
        <v>3021</v>
      </c>
      <c r="M24" s="27">
        <v>8.9</v>
      </c>
      <c r="N24" s="26">
        <f>L24*M24</f>
        <v>26887</v>
      </c>
    </row>
    <row r="25" spans="2:14" x14ac:dyDescent="0.25">
      <c r="B25" s="44"/>
      <c r="C25" s="33"/>
      <c r="D25" s="33">
        <v>479</v>
      </c>
      <c r="E25" s="36">
        <v>2185</v>
      </c>
      <c r="F25" s="35">
        <v>9.9</v>
      </c>
      <c r="G25" s="22">
        <f t="shared" si="3"/>
        <v>21632</v>
      </c>
      <c r="I25" s="24"/>
      <c r="J25" s="25"/>
      <c r="K25" s="25">
        <v>459</v>
      </c>
      <c r="L25" s="26">
        <v>577</v>
      </c>
      <c r="M25" s="27">
        <v>29</v>
      </c>
      <c r="N25" s="26">
        <f>L25*M25</f>
        <v>16733</v>
      </c>
    </row>
    <row r="26" spans="2:14" x14ac:dyDescent="0.25">
      <c r="B26" s="7" t="s">
        <v>130</v>
      </c>
      <c r="C26" s="17"/>
      <c r="D26" s="17"/>
      <c r="E26" s="59">
        <f>SUM(E20:E25)</f>
        <v>21753</v>
      </c>
      <c r="F26" s="60"/>
      <c r="G26" s="59">
        <f>SUM(G20:G25)</f>
        <v>165018</v>
      </c>
      <c r="I26" s="24"/>
      <c r="J26" s="25"/>
      <c r="K26" s="25">
        <v>479</v>
      </c>
      <c r="L26" s="22">
        <v>365</v>
      </c>
      <c r="M26" s="27">
        <v>9.9</v>
      </c>
      <c r="N26" s="22">
        <f>L26*M26</f>
        <v>3614</v>
      </c>
    </row>
    <row r="27" spans="2:14" x14ac:dyDescent="0.25">
      <c r="B27" s="44"/>
      <c r="C27" s="33"/>
      <c r="D27" s="33"/>
      <c r="E27" s="34"/>
      <c r="F27" s="35"/>
      <c r="G27" s="34"/>
      <c r="I27" s="1" t="s">
        <v>166</v>
      </c>
      <c r="J27" s="2"/>
      <c r="K27" s="2"/>
      <c r="L27" s="3">
        <f>SUM(L22:L26)</f>
        <v>16344</v>
      </c>
      <c r="M27" s="4"/>
      <c r="N27" s="3">
        <f>SUM(N22:N26)</f>
        <v>183564</v>
      </c>
    </row>
    <row r="28" spans="2:14" x14ac:dyDescent="0.25">
      <c r="B28" s="24" t="s">
        <v>45</v>
      </c>
      <c r="C28" s="25" t="s">
        <v>46</v>
      </c>
      <c r="D28" s="25">
        <v>194</v>
      </c>
      <c r="E28" s="26">
        <v>2137</v>
      </c>
      <c r="F28" s="27">
        <v>7.4</v>
      </c>
      <c r="G28" s="26">
        <f t="shared" ref="G28:G32" si="4">E28*F28</f>
        <v>15814</v>
      </c>
      <c r="I28" s="24"/>
      <c r="J28" s="25"/>
      <c r="K28" s="25"/>
      <c r="L28" s="26"/>
      <c r="M28" s="27"/>
      <c r="N28" s="26"/>
    </row>
    <row r="29" spans="2:14" x14ac:dyDescent="0.25">
      <c r="B29" s="24"/>
      <c r="C29" s="25"/>
      <c r="D29" s="25">
        <v>405</v>
      </c>
      <c r="E29" s="26">
        <v>2128</v>
      </c>
      <c r="F29" s="27">
        <v>16.8</v>
      </c>
      <c r="G29" s="26">
        <f t="shared" si="4"/>
        <v>35750</v>
      </c>
      <c r="J29" s="2"/>
      <c r="K29" s="2"/>
      <c r="L29" s="3"/>
      <c r="M29" s="4"/>
      <c r="N29" s="3"/>
    </row>
    <row r="30" spans="2:14" x14ac:dyDescent="0.25">
      <c r="B30" s="24"/>
      <c r="C30" s="25"/>
      <c r="D30" s="25">
        <v>406</v>
      </c>
      <c r="E30" s="26">
        <v>3663</v>
      </c>
      <c r="F30" s="27">
        <v>12.5</v>
      </c>
      <c r="G30" s="26">
        <f t="shared" si="4"/>
        <v>45788</v>
      </c>
      <c r="I30" s="1" t="s">
        <v>139</v>
      </c>
      <c r="J30" s="2" t="s">
        <v>58</v>
      </c>
      <c r="K30" s="2">
        <v>35</v>
      </c>
      <c r="L30" s="3">
        <v>11769</v>
      </c>
      <c r="M30" s="4">
        <v>3.7</v>
      </c>
      <c r="N30" s="3">
        <f>L30*M30</f>
        <v>43545</v>
      </c>
    </row>
    <row r="31" spans="2:14" x14ac:dyDescent="0.25">
      <c r="B31" s="24"/>
      <c r="C31" s="25"/>
      <c r="D31" s="25">
        <v>412</v>
      </c>
      <c r="E31" s="26">
        <v>633</v>
      </c>
      <c r="F31" s="27">
        <v>17</v>
      </c>
      <c r="G31" s="26">
        <f t="shared" si="4"/>
        <v>10761</v>
      </c>
      <c r="I31" s="24"/>
      <c r="J31" s="25"/>
      <c r="K31" s="25"/>
      <c r="L31" s="26"/>
      <c r="M31" s="27"/>
      <c r="N31" s="26"/>
    </row>
    <row r="32" spans="2:14" x14ac:dyDescent="0.25">
      <c r="B32" s="24"/>
      <c r="C32" s="25"/>
      <c r="D32" s="25">
        <v>415</v>
      </c>
      <c r="E32" s="22">
        <v>23154</v>
      </c>
      <c r="F32" s="27">
        <v>8.9</v>
      </c>
      <c r="G32" s="22">
        <f t="shared" si="4"/>
        <v>206071</v>
      </c>
      <c r="I32" s="24" t="s">
        <v>59</v>
      </c>
      <c r="J32" s="25" t="s">
        <v>60</v>
      </c>
      <c r="K32" s="25">
        <v>35</v>
      </c>
      <c r="L32" s="26">
        <v>2327</v>
      </c>
      <c r="M32" s="27">
        <v>3.7</v>
      </c>
      <c r="N32" s="26">
        <f>L32*M32</f>
        <v>8610</v>
      </c>
    </row>
    <row r="33" spans="2:14" x14ac:dyDescent="0.25">
      <c r="B33" s="1" t="s">
        <v>131</v>
      </c>
      <c r="E33" s="3">
        <f>SUM(E28:E32)</f>
        <v>31715</v>
      </c>
      <c r="G33" s="3">
        <f>SUM(G28:G32)</f>
        <v>314184</v>
      </c>
      <c r="I33" s="24"/>
      <c r="J33" s="25" t="s">
        <v>60</v>
      </c>
      <c r="K33" s="25">
        <v>36</v>
      </c>
      <c r="L33" s="22">
        <v>218</v>
      </c>
      <c r="M33" s="27">
        <v>2.4</v>
      </c>
      <c r="N33" s="22">
        <f>L33*M33</f>
        <v>523</v>
      </c>
    </row>
    <row r="34" spans="2:14" x14ac:dyDescent="0.25">
      <c r="I34" s="1" t="s">
        <v>140</v>
      </c>
      <c r="J34" s="2"/>
      <c r="K34" s="2"/>
      <c r="L34" s="3">
        <f>SUM(L32:L33)</f>
        <v>2545</v>
      </c>
      <c r="M34" s="4"/>
      <c r="N34" s="3">
        <f>SUM(N32:N33)</f>
        <v>9133</v>
      </c>
    </row>
    <row r="35" spans="2:14" x14ac:dyDescent="0.25">
      <c r="B35" s="1" t="s">
        <v>186</v>
      </c>
      <c r="C35" s="2" t="s">
        <v>164</v>
      </c>
      <c r="D35" s="2">
        <v>35</v>
      </c>
      <c r="E35" s="3">
        <v>416</v>
      </c>
      <c r="F35" s="4">
        <v>3.7</v>
      </c>
      <c r="G35" s="13">
        <f>E35*F35</f>
        <v>1539</v>
      </c>
      <c r="J35" s="2"/>
      <c r="K35" s="2"/>
      <c r="L35" s="3"/>
      <c r="M35" s="4"/>
      <c r="N35" s="3"/>
    </row>
    <row r="36" spans="2:14" x14ac:dyDescent="0.25">
      <c r="B36" s="24"/>
      <c r="C36" s="25"/>
      <c r="G36" s="13"/>
      <c r="I36" s="24" t="s">
        <v>61</v>
      </c>
      <c r="J36" s="25" t="s">
        <v>57</v>
      </c>
      <c r="K36" s="25">
        <v>35</v>
      </c>
      <c r="L36" s="26">
        <v>2745</v>
      </c>
      <c r="M36" s="27">
        <v>3.7</v>
      </c>
      <c r="N36" s="26">
        <f t="shared" ref="N36:N38" si="5">L36*M36</f>
        <v>10157</v>
      </c>
    </row>
    <row r="37" spans="2:14" x14ac:dyDescent="0.25">
      <c r="B37" s="24" t="s">
        <v>187</v>
      </c>
      <c r="C37" s="25" t="s">
        <v>165</v>
      </c>
      <c r="D37" s="25">
        <v>416</v>
      </c>
      <c r="E37" s="26">
        <v>1094</v>
      </c>
      <c r="F37" s="27">
        <v>8.9</v>
      </c>
      <c r="G37" s="28">
        <f>E37*F37</f>
        <v>9737</v>
      </c>
      <c r="I37" s="24"/>
      <c r="J37" s="25"/>
      <c r="K37" s="25">
        <v>79</v>
      </c>
      <c r="L37" s="26">
        <v>807</v>
      </c>
      <c r="M37" s="27">
        <v>3.6</v>
      </c>
      <c r="N37" s="26">
        <f t="shared" si="5"/>
        <v>2905</v>
      </c>
    </row>
    <row r="38" spans="2:14" x14ac:dyDescent="0.25">
      <c r="B38" s="24"/>
      <c r="C38" s="25"/>
      <c r="D38" s="25">
        <v>479</v>
      </c>
      <c r="E38" s="22">
        <v>1024</v>
      </c>
      <c r="F38" s="27">
        <v>9.9</v>
      </c>
      <c r="G38" s="30">
        <f>E38*F38</f>
        <v>10138</v>
      </c>
      <c r="I38" s="24"/>
      <c r="J38" s="25"/>
      <c r="K38" s="25">
        <v>194</v>
      </c>
      <c r="L38" s="22">
        <v>1002</v>
      </c>
      <c r="M38" s="27">
        <v>7.4</v>
      </c>
      <c r="N38" s="22">
        <f t="shared" si="5"/>
        <v>7415</v>
      </c>
    </row>
    <row r="39" spans="2:14" x14ac:dyDescent="0.25">
      <c r="B39" s="1" t="s">
        <v>188</v>
      </c>
      <c r="E39" s="3">
        <f>SUM(E37:E38)</f>
        <v>2118</v>
      </c>
      <c r="G39" s="3">
        <f>SUM(G37:G38)</f>
        <v>19875</v>
      </c>
      <c r="I39" s="1" t="s">
        <v>141</v>
      </c>
      <c r="J39" s="2"/>
      <c r="K39" s="2"/>
      <c r="L39" s="3">
        <f>SUM(L36:L38)</f>
        <v>4554</v>
      </c>
      <c r="M39" s="4"/>
      <c r="N39" s="3">
        <f>SUM(N36:N38)</f>
        <v>20477</v>
      </c>
    </row>
    <row r="40" spans="2:14" x14ac:dyDescent="0.25">
      <c r="J40" s="2"/>
      <c r="K40" s="2"/>
      <c r="L40" s="3"/>
      <c r="M40" s="4"/>
      <c r="N40" s="3"/>
    </row>
    <row r="41" spans="2:14" x14ac:dyDescent="0.25">
      <c r="B41" s="24" t="s">
        <v>47</v>
      </c>
      <c r="C41" s="25" t="s">
        <v>48</v>
      </c>
      <c r="D41" s="25">
        <v>26</v>
      </c>
      <c r="E41" s="26">
        <v>13099</v>
      </c>
      <c r="F41" s="27">
        <v>3.9</v>
      </c>
      <c r="G41" s="28">
        <f>E41*F41</f>
        <v>51086</v>
      </c>
      <c r="I41" s="24" t="s">
        <v>155</v>
      </c>
      <c r="J41" s="25" t="s">
        <v>62</v>
      </c>
      <c r="K41" s="25">
        <v>40</v>
      </c>
      <c r="L41" s="26">
        <v>7023</v>
      </c>
      <c r="M41" s="27">
        <v>5.0999999999999996</v>
      </c>
      <c r="N41" s="26">
        <f>L41*M41</f>
        <v>35817</v>
      </c>
    </row>
    <row r="42" spans="2:14" x14ac:dyDescent="0.25">
      <c r="B42" s="24"/>
      <c r="C42" s="25"/>
      <c r="D42" s="25">
        <v>35</v>
      </c>
      <c r="E42" s="28">
        <v>10489</v>
      </c>
      <c r="F42" s="29">
        <v>3.7</v>
      </c>
      <c r="G42" s="28">
        <f>E42*F42</f>
        <v>38809</v>
      </c>
      <c r="J42" s="2"/>
      <c r="K42" s="25">
        <v>42</v>
      </c>
      <c r="L42" s="22">
        <v>1603</v>
      </c>
      <c r="M42" s="27">
        <v>8.9</v>
      </c>
      <c r="N42" s="22">
        <f>L42*M42</f>
        <v>14267</v>
      </c>
    </row>
    <row r="43" spans="2:14" x14ac:dyDescent="0.25">
      <c r="B43" s="24"/>
      <c r="C43" s="25"/>
      <c r="D43" s="25">
        <v>194</v>
      </c>
      <c r="E43" s="28">
        <v>4428</v>
      </c>
      <c r="F43" s="29">
        <v>7.4</v>
      </c>
      <c r="G43" s="28">
        <f>E43*F43</f>
        <v>32767</v>
      </c>
      <c r="I43" s="1" t="s">
        <v>156</v>
      </c>
      <c r="J43" s="2"/>
      <c r="K43" s="25"/>
      <c r="L43" s="3">
        <f>SUM(L41:L42)</f>
        <v>8626</v>
      </c>
      <c r="M43" s="4"/>
      <c r="N43" s="3">
        <f>SUM(N41:N42)</f>
        <v>50084</v>
      </c>
    </row>
    <row r="44" spans="2:14" x14ac:dyDescent="0.25">
      <c r="B44" s="24"/>
      <c r="C44" s="25"/>
      <c r="D44" s="25">
        <v>406</v>
      </c>
      <c r="E44" s="28">
        <v>1052</v>
      </c>
      <c r="F44" s="29">
        <v>12.5</v>
      </c>
      <c r="G44" s="28">
        <f>E44*F44</f>
        <v>13150</v>
      </c>
      <c r="J44" s="2"/>
      <c r="K44" s="2"/>
      <c r="L44" s="3"/>
      <c r="M44" s="4"/>
      <c r="N44" s="3"/>
    </row>
    <row r="45" spans="2:14" x14ac:dyDescent="0.25">
      <c r="B45" s="1" t="s">
        <v>132</v>
      </c>
      <c r="D45" s="25">
        <v>416</v>
      </c>
      <c r="E45" s="30">
        <v>23773</v>
      </c>
      <c r="F45" s="29">
        <v>8.9</v>
      </c>
      <c r="G45" s="30">
        <f>E45*F45</f>
        <v>211580</v>
      </c>
      <c r="I45" s="24" t="s">
        <v>146</v>
      </c>
      <c r="J45" s="25" t="s">
        <v>63</v>
      </c>
      <c r="K45" s="25">
        <v>194</v>
      </c>
      <c r="L45" s="22">
        <v>6067</v>
      </c>
      <c r="M45" s="27">
        <v>7.4</v>
      </c>
      <c r="N45" s="22">
        <f>L45*M45</f>
        <v>44896</v>
      </c>
    </row>
    <row r="46" spans="2:14" x14ac:dyDescent="0.25">
      <c r="E46" s="13">
        <f>SUM(E41:E45)</f>
        <v>52841</v>
      </c>
      <c r="F46" s="14"/>
      <c r="G46" s="13">
        <f>SUM(G41:G45)</f>
        <v>347392</v>
      </c>
      <c r="J46" s="25"/>
      <c r="K46" s="2"/>
      <c r="L46" s="3">
        <f>SUM(L44:L45)</f>
        <v>6067</v>
      </c>
      <c r="M46" s="4"/>
      <c r="N46" s="3">
        <f>SUM(N44:N45)</f>
        <v>44896</v>
      </c>
    </row>
    <row r="47" spans="2:14" x14ac:dyDescent="0.25">
      <c r="I47" s="1" t="s">
        <v>138</v>
      </c>
      <c r="J47" s="2"/>
      <c r="K47" s="2"/>
      <c r="L47" s="3"/>
      <c r="M47" s="4"/>
      <c r="N47" s="3"/>
    </row>
    <row r="48" spans="2:14" x14ac:dyDescent="0.25">
      <c r="B48" s="24" t="s">
        <v>137</v>
      </c>
      <c r="C48" s="25" t="s">
        <v>49</v>
      </c>
      <c r="D48" s="25">
        <v>35</v>
      </c>
      <c r="E48" s="26">
        <v>31938</v>
      </c>
      <c r="F48" s="27">
        <v>3.7</v>
      </c>
      <c r="G48" s="26">
        <f t="shared" ref="G48:G51" si="6">E48*F48</f>
        <v>118171</v>
      </c>
      <c r="J48" s="2"/>
      <c r="K48" s="2"/>
      <c r="L48" s="3"/>
      <c r="M48" s="4"/>
      <c r="N48" s="3"/>
    </row>
    <row r="49" spans="2:14" x14ac:dyDescent="0.25">
      <c r="B49" s="24"/>
      <c r="C49" s="25"/>
      <c r="D49" s="25">
        <v>194</v>
      </c>
      <c r="E49" s="26">
        <v>10247</v>
      </c>
      <c r="F49" s="27">
        <v>7.4</v>
      </c>
      <c r="G49" s="26">
        <f t="shared" si="6"/>
        <v>75828</v>
      </c>
      <c r="I49" s="24" t="s">
        <v>142</v>
      </c>
      <c r="J49" s="25" t="s">
        <v>64</v>
      </c>
      <c r="K49" s="25">
        <v>10</v>
      </c>
      <c r="L49" s="26">
        <v>202</v>
      </c>
      <c r="M49" s="27">
        <v>3.3</v>
      </c>
      <c r="N49" s="26">
        <f>L49*M49</f>
        <v>667</v>
      </c>
    </row>
    <row r="50" spans="2:14" x14ac:dyDescent="0.25">
      <c r="B50" s="24"/>
      <c r="C50" s="25"/>
      <c r="D50" s="25">
        <v>405</v>
      </c>
      <c r="E50" s="26">
        <v>9948</v>
      </c>
      <c r="F50" s="27">
        <v>16.8</v>
      </c>
      <c r="G50" s="26">
        <f t="shared" si="6"/>
        <v>167126</v>
      </c>
      <c r="I50" s="24"/>
      <c r="J50" s="25" t="s">
        <v>64</v>
      </c>
      <c r="K50" s="25">
        <v>35</v>
      </c>
      <c r="L50" s="26">
        <v>628</v>
      </c>
      <c r="M50" s="27">
        <v>3.7</v>
      </c>
      <c r="N50" s="26">
        <f>L50*M50</f>
        <v>2324</v>
      </c>
    </row>
    <row r="51" spans="2:14" x14ac:dyDescent="0.25">
      <c r="B51" s="24"/>
      <c r="C51" s="25"/>
      <c r="D51" s="25">
        <v>416</v>
      </c>
      <c r="E51" s="30">
        <v>42872</v>
      </c>
      <c r="F51" s="29">
        <v>8.9</v>
      </c>
      <c r="G51" s="30">
        <f t="shared" si="6"/>
        <v>381561</v>
      </c>
      <c r="I51" s="24"/>
      <c r="J51" s="25" t="s">
        <v>64</v>
      </c>
      <c r="K51" s="25">
        <v>194</v>
      </c>
      <c r="L51" s="26">
        <v>524</v>
      </c>
      <c r="M51" s="27">
        <v>7.4</v>
      </c>
      <c r="N51" s="26">
        <f>L51*M51</f>
        <v>3878</v>
      </c>
    </row>
    <row r="52" spans="2:14" x14ac:dyDescent="0.25">
      <c r="B52" s="1" t="s">
        <v>133</v>
      </c>
      <c r="E52" s="3">
        <f>SUM(E48:E51)</f>
        <v>95005</v>
      </c>
      <c r="G52" s="3">
        <f>SUM(G48:G51)</f>
        <v>742686</v>
      </c>
      <c r="I52" s="24"/>
      <c r="J52" s="25" t="s">
        <v>64</v>
      </c>
      <c r="K52" s="25">
        <v>416</v>
      </c>
      <c r="L52" s="22">
        <v>15302</v>
      </c>
      <c r="M52" s="27">
        <v>8.9</v>
      </c>
      <c r="N52" s="22">
        <f>L52*M52</f>
        <v>136188</v>
      </c>
    </row>
    <row r="53" spans="2:14" x14ac:dyDescent="0.25">
      <c r="B53" s="24"/>
      <c r="C53" s="25"/>
      <c r="D53" s="25"/>
      <c r="E53" s="26"/>
      <c r="F53" s="27"/>
      <c r="G53" s="26"/>
      <c r="I53" s="1" t="s">
        <v>136</v>
      </c>
      <c r="J53" s="2"/>
      <c r="K53" s="2"/>
      <c r="L53" s="3">
        <f>SUM(L49:L52)</f>
        <v>16656</v>
      </c>
      <c r="M53" s="4"/>
      <c r="N53" s="3">
        <f>SUM(N49:N52)</f>
        <v>143057</v>
      </c>
    </row>
    <row r="54" spans="2:14" x14ac:dyDescent="0.25">
      <c r="B54" s="24" t="s">
        <v>50</v>
      </c>
      <c r="C54" s="25" t="s">
        <v>51</v>
      </c>
      <c r="D54" s="25">
        <v>10</v>
      </c>
      <c r="E54" s="26">
        <v>382</v>
      </c>
      <c r="F54" s="27">
        <v>3.3</v>
      </c>
      <c r="G54" s="26">
        <f t="shared" ref="G54:G56" si="7">E54*F54</f>
        <v>1261</v>
      </c>
      <c r="J54" s="2"/>
      <c r="K54" s="2"/>
      <c r="L54" s="3"/>
      <c r="M54" s="4"/>
      <c r="N54" s="3"/>
    </row>
    <row r="55" spans="2:14" x14ac:dyDescent="0.25">
      <c r="B55" s="24"/>
      <c r="C55" s="25"/>
      <c r="D55" s="25">
        <v>35</v>
      </c>
      <c r="E55" s="26">
        <v>2295</v>
      </c>
      <c r="F55" s="27">
        <v>3.7</v>
      </c>
      <c r="G55" s="26">
        <f t="shared" si="7"/>
        <v>8492</v>
      </c>
      <c r="I55" s="24" t="s">
        <v>184</v>
      </c>
      <c r="J55" s="2"/>
      <c r="K55" s="25"/>
      <c r="L55" s="26"/>
      <c r="M55" s="27"/>
      <c r="N55" s="26"/>
    </row>
    <row r="56" spans="2:14" x14ac:dyDescent="0.25">
      <c r="B56" s="24"/>
      <c r="C56" s="25"/>
      <c r="D56" s="25">
        <v>479</v>
      </c>
      <c r="E56" s="22">
        <v>3001</v>
      </c>
      <c r="F56" s="27">
        <v>9.9</v>
      </c>
      <c r="G56" s="22">
        <f t="shared" si="7"/>
        <v>29710</v>
      </c>
      <c r="J56" s="1" t="s">
        <v>56</v>
      </c>
      <c r="K56" s="24">
        <v>35</v>
      </c>
      <c r="L56" s="103">
        <v>11507</v>
      </c>
      <c r="M56" s="24">
        <v>3.7</v>
      </c>
      <c r="N56" s="26">
        <f>L56*M56</f>
        <v>42576</v>
      </c>
    </row>
    <row r="57" spans="2:14" x14ac:dyDescent="0.25">
      <c r="B57" s="1" t="s">
        <v>134</v>
      </c>
      <c r="E57" s="3">
        <f>SUM(E54:E56)</f>
        <v>5678</v>
      </c>
      <c r="G57" s="3">
        <f>SUM(G54:G56)</f>
        <v>39463</v>
      </c>
      <c r="K57" s="24">
        <v>36</v>
      </c>
      <c r="L57" s="101">
        <v>1889</v>
      </c>
      <c r="M57" s="24">
        <v>2.4</v>
      </c>
      <c r="N57" s="26">
        <f>L57*M57</f>
        <v>4534</v>
      </c>
    </row>
    <row r="58" spans="2:14" ht="15.6" x14ac:dyDescent="0.4">
      <c r="K58" s="24">
        <v>79</v>
      </c>
      <c r="L58" s="104">
        <v>6198</v>
      </c>
      <c r="M58" s="44">
        <v>3.6</v>
      </c>
      <c r="N58" s="36">
        <f>L58*M58</f>
        <v>22313</v>
      </c>
    </row>
    <row r="59" spans="2:14" x14ac:dyDescent="0.25">
      <c r="B59" s="24" t="s">
        <v>162</v>
      </c>
      <c r="C59" s="25" t="s">
        <v>149</v>
      </c>
      <c r="D59" s="25">
        <v>415</v>
      </c>
      <c r="E59" s="26">
        <f>719+3416</f>
        <v>4135</v>
      </c>
      <c r="F59" s="27">
        <v>8.9</v>
      </c>
      <c r="G59" s="26">
        <f>E59*F59</f>
        <v>36802</v>
      </c>
      <c r="I59" s="1" t="s">
        <v>185</v>
      </c>
      <c r="L59" s="102">
        <f>SUM(L56:L58)</f>
        <v>19594</v>
      </c>
      <c r="N59" s="5">
        <f>SUM(N56:N58)</f>
        <v>69423</v>
      </c>
    </row>
    <row r="60" spans="2:14" x14ac:dyDescent="0.25">
      <c r="D60" s="25">
        <v>479</v>
      </c>
      <c r="E60" s="26">
        <v>1146</v>
      </c>
      <c r="F60" s="27">
        <v>9.9</v>
      </c>
      <c r="G60" s="26">
        <f>E60*F60</f>
        <v>11345</v>
      </c>
    </row>
    <row r="61" spans="2:14" x14ac:dyDescent="0.25">
      <c r="B61" s="1" t="s">
        <v>168</v>
      </c>
      <c r="E61" s="3">
        <f>SUM(E59:E60)</f>
        <v>5281</v>
      </c>
      <c r="G61" s="3">
        <f>SUM(G59:G60)</f>
        <v>48147</v>
      </c>
    </row>
    <row r="62" spans="2:14" x14ac:dyDescent="0.25">
      <c r="I62" s="24"/>
      <c r="J62" s="24"/>
      <c r="K62" s="24"/>
      <c r="L62" s="24"/>
      <c r="M62" s="31"/>
      <c r="N62" s="31"/>
    </row>
    <row r="63" spans="2:14" x14ac:dyDescent="0.25">
      <c r="I63" s="20"/>
      <c r="J63" s="20"/>
      <c r="K63" s="20"/>
      <c r="L63" s="20"/>
      <c r="M63" s="40"/>
      <c r="N63" s="40"/>
    </row>
    <row r="64" spans="2:14" x14ac:dyDescent="0.25">
      <c r="M64" s="5"/>
      <c r="N64" s="5"/>
    </row>
    <row r="65" spans="4:14" x14ac:dyDescent="0.25">
      <c r="D65" s="1"/>
      <c r="E65" s="1"/>
      <c r="F65" s="1"/>
      <c r="G65" s="1"/>
      <c r="I65" s="24"/>
      <c r="J65" s="24"/>
      <c r="K65" s="24"/>
      <c r="L65" s="24"/>
      <c r="M65" s="31"/>
      <c r="N65" s="31"/>
    </row>
    <row r="66" spans="4:14" x14ac:dyDescent="0.25">
      <c r="I66" s="24"/>
      <c r="J66" s="24"/>
      <c r="K66" s="24"/>
      <c r="L66" s="24"/>
      <c r="M66" s="31"/>
      <c r="N66" s="31"/>
    </row>
    <row r="67" spans="4:14" x14ac:dyDescent="0.25">
      <c r="I67" s="24"/>
      <c r="J67" s="24"/>
      <c r="K67" s="24"/>
      <c r="L67" s="24"/>
      <c r="M67" s="31"/>
      <c r="N67" s="31"/>
    </row>
    <row r="68" spans="4:14" x14ac:dyDescent="0.25">
      <c r="I68" s="24"/>
      <c r="J68" s="24"/>
      <c r="K68" s="24"/>
      <c r="L68" s="24"/>
      <c r="M68" s="31"/>
      <c r="N68" s="31"/>
    </row>
    <row r="69" spans="4:14" x14ac:dyDescent="0.25">
      <c r="I69" s="24"/>
      <c r="J69" s="24"/>
      <c r="K69" s="24"/>
      <c r="L69" s="24"/>
      <c r="M69" s="31"/>
      <c r="N69" s="31"/>
    </row>
    <row r="70" spans="4:14" x14ac:dyDescent="0.25">
      <c r="M70" s="5"/>
      <c r="N70" s="5"/>
    </row>
    <row r="71" spans="4:14" x14ac:dyDescent="0.25">
      <c r="I71" s="24"/>
      <c r="J71" s="24"/>
      <c r="K71" s="24"/>
      <c r="L71" s="24"/>
      <c r="M71" s="31"/>
      <c r="N71" s="31"/>
    </row>
    <row r="72" spans="4:14" x14ac:dyDescent="0.25">
      <c r="I72" s="24"/>
      <c r="J72" s="24"/>
      <c r="K72" s="24"/>
      <c r="L72" s="24"/>
      <c r="M72" s="31"/>
      <c r="N72" s="31"/>
    </row>
    <row r="73" spans="4:14" x14ac:dyDescent="0.25">
      <c r="I73" s="24"/>
      <c r="J73" s="24"/>
      <c r="K73" s="24"/>
      <c r="L73" s="24"/>
      <c r="M73" s="31"/>
      <c r="N73" s="31"/>
    </row>
    <row r="74" spans="4:14" x14ac:dyDescent="0.25">
      <c r="I74" s="24"/>
      <c r="J74" s="24"/>
      <c r="K74" s="24"/>
      <c r="L74" s="24"/>
      <c r="M74" s="31"/>
      <c r="N74" s="31"/>
    </row>
    <row r="75" spans="4:14" x14ac:dyDescent="0.25">
      <c r="I75" s="24"/>
      <c r="J75" s="24"/>
      <c r="K75" s="24"/>
      <c r="L75" s="24"/>
      <c r="M75" s="31"/>
      <c r="N75" s="31"/>
    </row>
    <row r="76" spans="4:14" x14ac:dyDescent="0.25">
      <c r="I76" s="24"/>
      <c r="J76" s="24"/>
      <c r="K76" s="24"/>
      <c r="L76" s="24"/>
      <c r="M76" s="31"/>
      <c r="N76" s="31"/>
    </row>
    <row r="77" spans="4:14" x14ac:dyDescent="0.25">
      <c r="I77" s="24"/>
      <c r="J77" s="24"/>
      <c r="K77" s="24"/>
      <c r="L77" s="24"/>
      <c r="M77" s="31"/>
      <c r="N77" s="31"/>
    </row>
    <row r="78" spans="4:14" x14ac:dyDescent="0.25">
      <c r="I78" s="24"/>
      <c r="J78" s="24"/>
      <c r="K78" s="24"/>
      <c r="L78" s="24"/>
      <c r="M78" s="31"/>
      <c r="N78" s="31"/>
    </row>
    <row r="79" spans="4:14" x14ac:dyDescent="0.25">
      <c r="I79" s="24"/>
      <c r="J79" s="24"/>
      <c r="K79" s="24"/>
      <c r="L79" s="24"/>
      <c r="M79" s="31"/>
      <c r="N79" s="31"/>
    </row>
    <row r="80" spans="4:14" x14ac:dyDescent="0.25">
      <c r="I80" s="24"/>
      <c r="J80" s="24"/>
      <c r="K80" s="24"/>
      <c r="L80" s="24"/>
      <c r="M80" s="31"/>
      <c r="N80" s="31"/>
    </row>
    <row r="81" spans="9:14" x14ac:dyDescent="0.25">
      <c r="I81" s="24"/>
      <c r="J81" s="24"/>
      <c r="K81" s="24"/>
      <c r="L81" s="24"/>
      <c r="M81" s="31"/>
      <c r="N81" s="31"/>
    </row>
    <row r="82" spans="9:14" x14ac:dyDescent="0.25">
      <c r="I82" s="24"/>
      <c r="J82" s="24"/>
      <c r="K82" s="24"/>
      <c r="L82" s="24"/>
      <c r="M82" s="31"/>
      <c r="N82" s="31"/>
    </row>
    <row r="83" spans="9:14" x14ac:dyDescent="0.25">
      <c r="I83" s="24"/>
      <c r="J83" s="24"/>
      <c r="K83" s="24"/>
      <c r="L83" s="24"/>
      <c r="M83" s="31"/>
      <c r="N83" s="31"/>
    </row>
    <row r="84" spans="9:14" x14ac:dyDescent="0.25">
      <c r="M84" s="5"/>
      <c r="N84" s="5"/>
    </row>
    <row r="85" spans="9:14" x14ac:dyDescent="0.25">
      <c r="I85" s="24"/>
      <c r="J85" s="24"/>
      <c r="K85" s="24"/>
      <c r="L85" s="24"/>
      <c r="M85" s="31"/>
      <c r="N85" s="31"/>
    </row>
    <row r="86" spans="9:14" x14ac:dyDescent="0.25">
      <c r="I86" s="24"/>
      <c r="J86" s="24"/>
      <c r="K86" s="24"/>
      <c r="L86" s="24"/>
      <c r="M86" s="31"/>
      <c r="N86" s="31"/>
    </row>
    <row r="87" spans="9:14" x14ac:dyDescent="0.25">
      <c r="I87" s="24"/>
      <c r="J87" s="24"/>
      <c r="K87" s="24"/>
      <c r="L87" s="24"/>
      <c r="M87" s="31"/>
      <c r="N87" s="31"/>
    </row>
    <row r="88" spans="9:14" x14ac:dyDescent="0.25">
      <c r="I88" s="24"/>
      <c r="J88" s="24"/>
      <c r="K88" s="24"/>
      <c r="L88" s="24"/>
      <c r="M88" s="31"/>
      <c r="N88" s="31"/>
    </row>
    <row r="89" spans="9:14" x14ac:dyDescent="0.25">
      <c r="M89" s="5"/>
      <c r="N89" s="5"/>
    </row>
    <row r="90" spans="9:14" x14ac:dyDescent="0.25">
      <c r="I90" s="24"/>
      <c r="J90" s="24"/>
      <c r="K90" s="24"/>
      <c r="L90" s="24"/>
      <c r="M90" s="31"/>
      <c r="N90" s="31"/>
    </row>
    <row r="91" spans="9:14" x14ac:dyDescent="0.25">
      <c r="M91" s="5"/>
      <c r="N91" s="5"/>
    </row>
    <row r="92" spans="9:14" x14ac:dyDescent="0.25">
      <c r="I92" s="24"/>
      <c r="J92" s="24"/>
      <c r="K92" s="24"/>
      <c r="L92" s="24"/>
      <c r="M92" s="31"/>
      <c r="N92" s="31"/>
    </row>
    <row r="104" ht="14.1" customHeight="1" x14ac:dyDescent="0.25"/>
    <row r="110" ht="14.1" customHeight="1" x14ac:dyDescent="0.25"/>
    <row r="126" spans="8:8" x14ac:dyDescent="0.25">
      <c r="H126" s="7"/>
    </row>
    <row r="130" spans="2:7" x14ac:dyDescent="0.25">
      <c r="D130" s="16"/>
      <c r="E130" s="13"/>
      <c r="F130" s="14"/>
      <c r="G130" s="15"/>
    </row>
    <row r="131" spans="2:7" x14ac:dyDescent="0.25">
      <c r="C131" s="16"/>
      <c r="D131" s="76"/>
      <c r="E131" s="77"/>
      <c r="F131" s="78"/>
      <c r="G131" s="79"/>
    </row>
    <row r="132" spans="2:7" x14ac:dyDescent="0.25">
      <c r="B132" s="68"/>
      <c r="C132" s="8"/>
      <c r="D132" s="33"/>
      <c r="E132" s="34"/>
      <c r="F132" s="35"/>
      <c r="G132" s="34"/>
    </row>
    <row r="133" spans="2:7" x14ac:dyDescent="0.25">
      <c r="B133" s="44"/>
      <c r="C133" s="17"/>
      <c r="D133" s="33"/>
      <c r="E133" s="34"/>
      <c r="F133" s="35"/>
      <c r="G133" s="34"/>
    </row>
    <row r="134" spans="2:7" x14ac:dyDescent="0.25">
      <c r="B134" s="44"/>
      <c r="C134" s="33"/>
      <c r="D134" s="33"/>
      <c r="E134" s="36"/>
      <c r="F134" s="35"/>
      <c r="G134" s="36"/>
    </row>
    <row r="135" spans="2:7" x14ac:dyDescent="0.25">
      <c r="B135" s="44"/>
      <c r="C135" s="33"/>
      <c r="D135" s="33"/>
      <c r="E135" s="34"/>
      <c r="F135" s="35"/>
      <c r="G135" s="34"/>
    </row>
    <row r="136" spans="2:7" x14ac:dyDescent="0.25">
      <c r="B136" s="44"/>
      <c r="C136" s="33"/>
      <c r="D136" s="17"/>
      <c r="E136" s="59"/>
      <c r="F136" s="60"/>
      <c r="G136" s="59"/>
    </row>
    <row r="137" spans="2:7" x14ac:dyDescent="0.25">
      <c r="B137" s="7"/>
      <c r="C137" s="17"/>
      <c r="D137" s="33"/>
      <c r="E137" s="34"/>
      <c r="F137" s="35"/>
      <c r="G137" s="34"/>
    </row>
    <row r="138" spans="2:7" x14ac:dyDescent="0.25">
      <c r="B138" s="44"/>
      <c r="C138" s="33"/>
      <c r="D138" s="17"/>
      <c r="E138" s="59"/>
      <c r="F138" s="60"/>
      <c r="G138" s="59"/>
    </row>
    <row r="139" spans="2:7" x14ac:dyDescent="0.25">
      <c r="B139" s="7"/>
      <c r="C139" s="17"/>
      <c r="D139" s="17"/>
      <c r="E139" s="59"/>
      <c r="F139" s="60"/>
      <c r="G139" s="59"/>
    </row>
    <row r="140" spans="2:7" x14ac:dyDescent="0.25">
      <c r="B140" s="7"/>
      <c r="C140" s="17"/>
    </row>
  </sheetData>
  <sheetProtection algorithmName="SHA-512" hashValue="sUTZrFyMyShZT3UgvCfzfvp2qLUwH9S7UUZCJPzxB/GvGzdlKxVmzbB3HsMgcp153s674MfD0bjBmO8x5iMgrQ==" saltValue="PX2KOX2imHr3vus8IhPwuw==" spinCount="100000" sheet="1" objects="1" scenarios="1"/>
  <mergeCells count="1">
    <mergeCell ref="A4:N4"/>
  </mergeCells>
  <pageMargins left="0.7" right="0.7" top="0.75" bottom="0.75" header="0.3" footer="0.3"/>
  <pageSetup scale="60" orientation="portrait" verticalDpi="598" r:id="rId1"/>
  <rowBreaks count="2" manualBreakCount="2">
    <brk id="43" max="16383" man="1"/>
    <brk id="7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pane ySplit="4" topLeftCell="A5" activePane="bottomLeft" state="frozen"/>
      <selection pane="bottomLeft" activeCell="B25" sqref="B25"/>
    </sheetView>
  </sheetViews>
  <sheetFormatPr defaultColWidth="9.109375" defaultRowHeight="14.4" x14ac:dyDescent="0.3"/>
  <cols>
    <col min="1" max="1" width="10.44140625" style="114" customWidth="1"/>
    <col min="2" max="2" width="23.109375" style="120" customWidth="1"/>
    <col min="3" max="3" width="37.88671875" style="120" customWidth="1"/>
    <col min="4" max="4" width="13.44140625" style="114" customWidth="1"/>
    <col min="5" max="16384" width="9.109375" style="114"/>
  </cols>
  <sheetData>
    <row r="1" spans="1:4" x14ac:dyDescent="0.3">
      <c r="A1" s="113"/>
      <c r="B1" s="139"/>
      <c r="C1" s="139"/>
      <c r="D1" s="113" t="s">
        <v>151</v>
      </c>
    </row>
    <row r="2" spans="1:4" x14ac:dyDescent="0.3">
      <c r="A2" s="113"/>
      <c r="B2" s="139" t="s">
        <v>210</v>
      </c>
      <c r="C2" s="139"/>
      <c r="D2" s="113"/>
    </row>
    <row r="3" spans="1:4" x14ac:dyDescent="0.3">
      <c r="A3" s="113"/>
      <c r="B3" s="115"/>
      <c r="C3" s="115"/>
      <c r="D3" s="113"/>
    </row>
    <row r="4" spans="1:4" x14ac:dyDescent="0.3">
      <c r="A4" s="116" t="s">
        <v>211</v>
      </c>
      <c r="B4" s="117" t="s">
        <v>212</v>
      </c>
      <c r="C4" s="117" t="s">
        <v>213</v>
      </c>
      <c r="D4" s="116" t="s">
        <v>214</v>
      </c>
    </row>
    <row r="5" spans="1:4" x14ac:dyDescent="0.3">
      <c r="A5" s="113">
        <v>10</v>
      </c>
      <c r="B5" s="115" t="s">
        <v>215</v>
      </c>
      <c r="C5" s="115" t="s">
        <v>216</v>
      </c>
      <c r="D5" s="113" t="s">
        <v>217</v>
      </c>
    </row>
    <row r="6" spans="1:4" x14ac:dyDescent="0.3">
      <c r="A6" s="113">
        <v>26</v>
      </c>
      <c r="B6" s="115" t="s">
        <v>218</v>
      </c>
      <c r="C6" s="115" t="s">
        <v>219</v>
      </c>
      <c r="D6" s="113" t="s">
        <v>220</v>
      </c>
    </row>
    <row r="7" spans="1:4" x14ac:dyDescent="0.3">
      <c r="A7" s="113">
        <v>31</v>
      </c>
      <c r="B7" s="115" t="s">
        <v>221</v>
      </c>
      <c r="C7" s="115" t="s">
        <v>222</v>
      </c>
      <c r="D7" s="113" t="s">
        <v>223</v>
      </c>
    </row>
    <row r="8" spans="1:4" x14ac:dyDescent="0.3">
      <c r="A8" s="113">
        <v>33</v>
      </c>
      <c r="B8" s="115" t="s">
        <v>224</v>
      </c>
      <c r="C8" s="115" t="s">
        <v>222</v>
      </c>
      <c r="D8" s="113" t="s">
        <v>225</v>
      </c>
    </row>
    <row r="9" spans="1:4" x14ac:dyDescent="0.3">
      <c r="A9" s="113">
        <v>35</v>
      </c>
      <c r="B9" s="115" t="s">
        <v>226</v>
      </c>
      <c r="C9" s="115" t="s">
        <v>222</v>
      </c>
      <c r="D9" s="113" t="s">
        <v>227</v>
      </c>
    </row>
    <row r="10" spans="1:4" x14ac:dyDescent="0.3">
      <c r="A10" s="113">
        <v>36</v>
      </c>
      <c r="B10" s="115" t="s">
        <v>228</v>
      </c>
      <c r="C10" s="115" t="s">
        <v>222</v>
      </c>
      <c r="D10" s="113" t="s">
        <v>229</v>
      </c>
    </row>
    <row r="11" spans="1:4" x14ac:dyDescent="0.3">
      <c r="A11" s="113">
        <v>40</v>
      </c>
      <c r="B11" s="115" t="s">
        <v>230</v>
      </c>
      <c r="C11" s="115" t="s">
        <v>231</v>
      </c>
      <c r="D11" s="113" t="s">
        <v>232</v>
      </c>
    </row>
    <row r="12" spans="1:4" x14ac:dyDescent="0.3">
      <c r="A12" s="113">
        <v>42</v>
      </c>
      <c r="B12" s="115" t="s">
        <v>233</v>
      </c>
      <c r="C12" s="115" t="s">
        <v>231</v>
      </c>
      <c r="D12" s="113" t="s">
        <v>234</v>
      </c>
    </row>
    <row r="13" spans="1:4" x14ac:dyDescent="0.3">
      <c r="A13" s="113">
        <v>79</v>
      </c>
      <c r="B13" s="115" t="s">
        <v>235</v>
      </c>
      <c r="C13" s="115" t="s">
        <v>236</v>
      </c>
      <c r="D13" s="113" t="s">
        <v>237</v>
      </c>
    </row>
    <row r="14" spans="1:4" x14ac:dyDescent="0.3">
      <c r="A14" s="113">
        <v>131</v>
      </c>
      <c r="B14" s="115" t="s">
        <v>238</v>
      </c>
      <c r="C14" s="115" t="s">
        <v>239</v>
      </c>
      <c r="D14" s="113" t="s">
        <v>240</v>
      </c>
    </row>
    <row r="15" spans="1:4" x14ac:dyDescent="0.3">
      <c r="A15" s="113">
        <v>194</v>
      </c>
      <c r="B15" s="115" t="s">
        <v>241</v>
      </c>
      <c r="C15" s="115" t="s">
        <v>236</v>
      </c>
      <c r="D15" s="113" t="s">
        <v>242</v>
      </c>
    </row>
    <row r="16" spans="1:4" x14ac:dyDescent="0.3">
      <c r="A16" s="113">
        <v>405</v>
      </c>
      <c r="B16" s="115" t="s">
        <v>243</v>
      </c>
      <c r="C16" s="115" t="s">
        <v>216</v>
      </c>
      <c r="D16" s="113" t="s">
        <v>244</v>
      </c>
    </row>
    <row r="17" spans="1:4" x14ac:dyDescent="0.3">
      <c r="A17" s="113">
        <v>406</v>
      </c>
      <c r="B17" s="115" t="s">
        <v>245</v>
      </c>
      <c r="C17" s="115" t="s">
        <v>216</v>
      </c>
      <c r="D17" s="113" t="s">
        <v>246</v>
      </c>
    </row>
    <row r="18" spans="1:4" x14ac:dyDescent="0.3">
      <c r="A18" s="113">
        <v>412</v>
      </c>
      <c r="B18" s="115" t="s">
        <v>247</v>
      </c>
      <c r="C18" s="115" t="s">
        <v>248</v>
      </c>
      <c r="D18" s="113" t="s">
        <v>249</v>
      </c>
    </row>
    <row r="19" spans="1:4" x14ac:dyDescent="0.3">
      <c r="A19" s="113">
        <v>415</v>
      </c>
      <c r="B19" s="115" t="s">
        <v>250</v>
      </c>
      <c r="C19" s="115" t="s">
        <v>222</v>
      </c>
      <c r="D19" s="113" t="s">
        <v>251</v>
      </c>
    </row>
    <row r="20" spans="1:4" x14ac:dyDescent="0.3">
      <c r="A20" s="113">
        <v>416</v>
      </c>
      <c r="B20" s="115" t="s">
        <v>252</v>
      </c>
      <c r="C20" s="115" t="s">
        <v>222</v>
      </c>
      <c r="D20" s="113" t="s">
        <v>253</v>
      </c>
    </row>
    <row r="21" spans="1:4" x14ac:dyDescent="0.3">
      <c r="A21" s="113">
        <v>417</v>
      </c>
      <c r="B21" s="115" t="s">
        <v>254</v>
      </c>
      <c r="C21" s="115" t="s">
        <v>222</v>
      </c>
      <c r="D21" s="113" t="s">
        <v>255</v>
      </c>
    </row>
    <row r="22" spans="1:4" x14ac:dyDescent="0.3">
      <c r="A22" s="113">
        <v>456</v>
      </c>
      <c r="B22" s="115" t="s">
        <v>256</v>
      </c>
      <c r="C22" s="115" t="s">
        <v>257</v>
      </c>
      <c r="D22" s="113" t="s">
        <v>258</v>
      </c>
    </row>
    <row r="23" spans="1:4" x14ac:dyDescent="0.3">
      <c r="A23" s="113">
        <v>479</v>
      </c>
      <c r="B23" s="115" t="s">
        <v>259</v>
      </c>
      <c r="C23" s="115" t="s">
        <v>260</v>
      </c>
      <c r="D23" s="113" t="s">
        <v>261</v>
      </c>
    </row>
    <row r="24" spans="1:4" x14ac:dyDescent="0.3">
      <c r="A24" s="118"/>
      <c r="B24" s="119"/>
      <c r="C24" s="119"/>
      <c r="D24" s="118"/>
    </row>
  </sheetData>
  <sheetProtection algorithmName="SHA-512" hashValue="Sb/jOXuaJDbUHzsEZc0GmWHJGY/HSoAkj7+umu2vpwPvGHyAqOiczlcbQDD7yR6BJVHOpAyKL2SmbyoAjm+zDA==" saltValue="m5RP6fRLL0O8IWMDwDJZTw==" spinCount="100000" sheet="1" objects="1" scenarios="1"/>
  <mergeCells count="2">
    <mergeCell ref="B1:C1"/>
    <mergeCell ref="B2:C2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showGridLines="0" workbookViewId="0">
      <pane ySplit="8" topLeftCell="A9" activePane="bottomLeft" state="frozen"/>
      <selection pane="bottomLeft" activeCell="G3" sqref="G3"/>
    </sheetView>
  </sheetViews>
  <sheetFormatPr defaultColWidth="9.109375" defaultRowHeight="15.6" x14ac:dyDescent="0.3"/>
  <cols>
    <col min="1" max="1" width="3.6640625" style="121" customWidth="1"/>
    <col min="2" max="2" width="22.5546875" style="121" customWidth="1"/>
    <col min="3" max="3" width="12.44140625" style="121" customWidth="1"/>
    <col min="4" max="4" width="6.88671875" style="121" customWidth="1"/>
    <col min="5" max="5" width="13.6640625" style="121" customWidth="1"/>
    <col min="6" max="6" width="6.109375" style="121" customWidth="1"/>
    <col min="7" max="7" width="11.33203125" style="121" customWidth="1"/>
    <col min="8" max="12" width="9.109375" style="121"/>
    <col min="13" max="13" width="26" style="121" customWidth="1"/>
    <col min="14" max="14" width="11" style="121" customWidth="1"/>
    <col min="15" max="15" width="9.109375" style="121"/>
    <col min="16" max="16" width="19" style="121" customWidth="1"/>
    <col min="17" max="17" width="11" style="121" customWidth="1"/>
    <col min="18" max="16384" width="9.109375" style="121"/>
  </cols>
  <sheetData>
    <row r="1" spans="2:17" x14ac:dyDescent="0.3">
      <c r="G1" s="122"/>
    </row>
    <row r="2" spans="2:17" x14ac:dyDescent="0.3">
      <c r="G2" s="122" t="s">
        <v>152</v>
      </c>
    </row>
    <row r="5" spans="2:17" x14ac:dyDescent="0.3">
      <c r="B5" s="123" t="s">
        <v>262</v>
      </c>
      <c r="C5" s="123"/>
      <c r="D5" s="123"/>
      <c r="E5" s="123"/>
      <c r="F5" s="123"/>
      <c r="G5" s="123"/>
    </row>
    <row r="6" spans="2:17" x14ac:dyDescent="0.3">
      <c r="B6" s="124"/>
      <c r="C6" s="124"/>
      <c r="D6" s="124"/>
      <c r="E6" s="124"/>
      <c r="F6" s="124"/>
      <c r="G6" s="124"/>
    </row>
    <row r="7" spans="2:17" x14ac:dyDescent="0.3">
      <c r="C7" s="122" t="s">
        <v>263</v>
      </c>
      <c r="D7" s="122"/>
      <c r="E7" s="122" t="s">
        <v>264</v>
      </c>
      <c r="F7" s="122"/>
      <c r="G7" s="122"/>
    </row>
    <row r="8" spans="2:17" x14ac:dyDescent="0.3">
      <c r="B8" s="125" t="s">
        <v>12</v>
      </c>
      <c r="C8" s="126" t="s">
        <v>265</v>
      </c>
      <c r="D8" s="126"/>
      <c r="E8" s="126" t="s">
        <v>265</v>
      </c>
      <c r="F8" s="122"/>
      <c r="G8" s="126" t="s">
        <v>266</v>
      </c>
    </row>
    <row r="9" spans="2:17" x14ac:dyDescent="0.3">
      <c r="B9" s="121" t="s">
        <v>40</v>
      </c>
      <c r="C9" s="127">
        <v>817</v>
      </c>
      <c r="E9" s="121">
        <v>810</v>
      </c>
      <c r="G9" s="128">
        <f t="shared" ref="G9:G34" si="0">C9/E9-1</f>
        <v>8.6E-3</v>
      </c>
    </row>
    <row r="10" spans="2:17" x14ac:dyDescent="0.3">
      <c r="B10" s="121" t="s">
        <v>267</v>
      </c>
      <c r="C10" s="129">
        <v>5640</v>
      </c>
      <c r="D10" s="130"/>
      <c r="E10" s="129">
        <v>4891</v>
      </c>
      <c r="F10" s="130"/>
      <c r="G10" s="131">
        <f t="shared" si="0"/>
        <v>0.15310000000000001</v>
      </c>
      <c r="H10" s="130"/>
    </row>
    <row r="11" spans="2:17" x14ac:dyDescent="0.3">
      <c r="B11" s="121" t="s">
        <v>268</v>
      </c>
      <c r="C11" s="129">
        <v>25656</v>
      </c>
      <c r="D11" s="130"/>
      <c r="E11" s="129">
        <v>24461</v>
      </c>
      <c r="F11" s="130"/>
      <c r="G11" s="131">
        <f t="shared" si="0"/>
        <v>4.8899999999999999E-2</v>
      </c>
      <c r="H11" s="130"/>
    </row>
    <row r="12" spans="2:17" x14ac:dyDescent="0.3">
      <c r="B12" s="121" t="s">
        <v>269</v>
      </c>
      <c r="C12" s="127">
        <v>409369</v>
      </c>
      <c r="E12" s="127">
        <v>379035</v>
      </c>
      <c r="G12" s="128">
        <f t="shared" si="0"/>
        <v>0.08</v>
      </c>
      <c r="N12" s="127"/>
      <c r="Q12" s="127"/>
    </row>
    <row r="13" spans="2:17" x14ac:dyDescent="0.3">
      <c r="B13" s="121" t="s">
        <v>45</v>
      </c>
      <c r="C13" s="127">
        <v>353981</v>
      </c>
      <c r="E13" s="127">
        <v>340824</v>
      </c>
      <c r="G13" s="128">
        <f t="shared" si="0"/>
        <v>3.8600000000000002E-2</v>
      </c>
      <c r="N13" s="127"/>
      <c r="Q13" s="127"/>
    </row>
    <row r="14" spans="2:17" x14ac:dyDescent="0.3">
      <c r="B14" s="121" t="s">
        <v>270</v>
      </c>
      <c r="C14" s="127">
        <v>1607</v>
      </c>
      <c r="E14" s="127">
        <v>1590</v>
      </c>
      <c r="G14" s="128">
        <f t="shared" si="0"/>
        <v>1.0699999999999999E-2</v>
      </c>
      <c r="N14" s="127"/>
      <c r="Q14" s="127"/>
    </row>
    <row r="15" spans="2:17" x14ac:dyDescent="0.3">
      <c r="B15" s="121" t="s">
        <v>271</v>
      </c>
      <c r="C15" s="127">
        <v>408895</v>
      </c>
      <c r="E15" s="127">
        <v>398856</v>
      </c>
      <c r="G15" s="128">
        <f t="shared" si="0"/>
        <v>2.52E-2</v>
      </c>
      <c r="N15" s="127"/>
      <c r="Q15" s="127"/>
    </row>
    <row r="16" spans="2:17" x14ac:dyDescent="0.3">
      <c r="B16" s="121" t="s">
        <v>272</v>
      </c>
      <c r="C16" s="127">
        <v>66209</v>
      </c>
      <c r="E16" s="127">
        <v>59961</v>
      </c>
      <c r="G16" s="128">
        <f t="shared" si="0"/>
        <v>0.1042</v>
      </c>
      <c r="N16" s="127"/>
      <c r="Q16" s="127"/>
    </row>
    <row r="17" spans="2:17" x14ac:dyDescent="0.3">
      <c r="B17" s="121" t="s">
        <v>47</v>
      </c>
      <c r="C17" s="127">
        <v>332743</v>
      </c>
      <c r="E17" s="127">
        <v>266805</v>
      </c>
      <c r="G17" s="128">
        <f t="shared" si="0"/>
        <v>0.24709999999999999</v>
      </c>
      <c r="N17" s="127"/>
      <c r="Q17" s="127"/>
    </row>
    <row r="18" spans="2:17" x14ac:dyDescent="0.3">
      <c r="B18" s="121" t="s">
        <v>273</v>
      </c>
      <c r="C18" s="127">
        <v>1751547</v>
      </c>
      <c r="E18" s="127">
        <v>1640197</v>
      </c>
      <c r="G18" s="128">
        <f t="shared" si="0"/>
        <v>6.7900000000000002E-2</v>
      </c>
      <c r="N18" s="127"/>
      <c r="Q18" s="127"/>
    </row>
    <row r="19" spans="2:17" x14ac:dyDescent="0.3">
      <c r="B19" s="121" t="s">
        <v>50</v>
      </c>
      <c r="C19" s="127">
        <v>5454</v>
      </c>
      <c r="E19" s="127">
        <v>5025</v>
      </c>
      <c r="G19" s="128">
        <f t="shared" si="0"/>
        <v>8.5400000000000004E-2</v>
      </c>
      <c r="N19" s="127"/>
      <c r="Q19" s="127"/>
    </row>
    <row r="20" spans="2:17" x14ac:dyDescent="0.3">
      <c r="B20" s="121" t="s">
        <v>52</v>
      </c>
      <c r="C20" s="127">
        <v>5842</v>
      </c>
      <c r="E20" s="127">
        <v>4940</v>
      </c>
      <c r="G20" s="128">
        <f t="shared" si="0"/>
        <v>0.18260000000000001</v>
      </c>
      <c r="N20" s="127"/>
      <c r="Q20" s="127"/>
    </row>
    <row r="21" spans="2:17" x14ac:dyDescent="0.3">
      <c r="B21" s="121" t="s">
        <v>54</v>
      </c>
      <c r="C21" s="127">
        <v>3638</v>
      </c>
      <c r="E21" s="127">
        <v>3337</v>
      </c>
      <c r="G21" s="128">
        <f t="shared" si="0"/>
        <v>9.0200000000000002E-2</v>
      </c>
      <c r="N21" s="127"/>
      <c r="Q21" s="127"/>
    </row>
    <row r="22" spans="2:17" x14ac:dyDescent="0.3">
      <c r="B22" s="121" t="s">
        <v>274</v>
      </c>
      <c r="C22" s="127">
        <v>1377680</v>
      </c>
      <c r="E22" s="127">
        <v>1344869</v>
      </c>
      <c r="G22" s="128">
        <f t="shared" si="0"/>
        <v>2.4400000000000002E-2</v>
      </c>
      <c r="N22" s="127"/>
      <c r="Q22" s="127"/>
    </row>
    <row r="23" spans="2:17" x14ac:dyDescent="0.3">
      <c r="B23" s="121" t="s">
        <v>275</v>
      </c>
      <c r="C23" s="127">
        <v>4108</v>
      </c>
      <c r="E23" s="127">
        <v>3721</v>
      </c>
      <c r="G23" s="128">
        <f t="shared" si="0"/>
        <v>0.104</v>
      </c>
      <c r="N23" s="127"/>
      <c r="Q23" s="127"/>
    </row>
    <row r="24" spans="2:17" x14ac:dyDescent="0.3">
      <c r="B24" s="121" t="s">
        <v>276</v>
      </c>
      <c r="C24" s="127">
        <v>10457</v>
      </c>
      <c r="E24" s="127">
        <v>10439</v>
      </c>
      <c r="G24" s="128">
        <f t="shared" si="0"/>
        <v>1.6999999999999999E-3</v>
      </c>
      <c r="N24" s="127"/>
      <c r="Q24" s="127"/>
    </row>
    <row r="25" spans="2:17" x14ac:dyDescent="0.3">
      <c r="B25" s="121" t="s">
        <v>277</v>
      </c>
      <c r="C25" s="121">
        <v>1974</v>
      </c>
      <c r="E25" s="121">
        <v>1792</v>
      </c>
      <c r="G25" s="128">
        <f t="shared" si="0"/>
        <v>0.1016</v>
      </c>
      <c r="N25" s="127"/>
      <c r="Q25" s="127"/>
    </row>
    <row r="26" spans="2:17" x14ac:dyDescent="0.3">
      <c r="B26" s="121" t="s">
        <v>278</v>
      </c>
      <c r="C26" s="127">
        <v>1327</v>
      </c>
      <c r="E26" s="127">
        <v>1279</v>
      </c>
      <c r="G26" s="128">
        <f t="shared" si="0"/>
        <v>3.7499999999999999E-2</v>
      </c>
      <c r="N26" s="127"/>
      <c r="Q26" s="127"/>
    </row>
    <row r="27" spans="2:17" x14ac:dyDescent="0.3">
      <c r="B27" s="121" t="s">
        <v>59</v>
      </c>
      <c r="C27" s="127">
        <v>1102</v>
      </c>
      <c r="E27" s="127">
        <v>1011</v>
      </c>
      <c r="G27" s="128">
        <f t="shared" si="0"/>
        <v>0.09</v>
      </c>
      <c r="N27" s="127"/>
      <c r="Q27" s="127"/>
    </row>
    <row r="28" spans="2:17" x14ac:dyDescent="0.3">
      <c r="B28" s="121" t="s">
        <v>61</v>
      </c>
      <c r="C28" s="127">
        <v>2675</v>
      </c>
      <c r="E28" s="127">
        <v>2576</v>
      </c>
      <c r="G28" s="128">
        <f t="shared" si="0"/>
        <v>3.8399999999999997E-2</v>
      </c>
      <c r="N28" s="127"/>
      <c r="Q28" s="127"/>
    </row>
    <row r="29" spans="2:17" x14ac:dyDescent="0.3">
      <c r="B29" s="121" t="s">
        <v>279</v>
      </c>
      <c r="C29" s="127">
        <v>7293967</v>
      </c>
      <c r="E29" s="127">
        <v>6943179</v>
      </c>
      <c r="G29" s="128">
        <f t="shared" si="0"/>
        <v>5.0500000000000003E-2</v>
      </c>
      <c r="N29" s="127"/>
      <c r="Q29" s="127"/>
    </row>
    <row r="30" spans="2:17" x14ac:dyDescent="0.3">
      <c r="B30" s="121" t="s">
        <v>280</v>
      </c>
      <c r="C30" s="127">
        <v>22416</v>
      </c>
      <c r="E30" s="127">
        <v>20447</v>
      </c>
      <c r="G30" s="128">
        <f t="shared" si="0"/>
        <v>9.6299999999999997E-2</v>
      </c>
      <c r="N30" s="127"/>
      <c r="Q30" s="127"/>
    </row>
    <row r="31" spans="2:17" x14ac:dyDescent="0.3">
      <c r="B31" s="121" t="s">
        <v>146</v>
      </c>
      <c r="C31" s="127">
        <v>53198</v>
      </c>
      <c r="E31" s="127">
        <v>51280</v>
      </c>
      <c r="G31" s="128">
        <f t="shared" si="0"/>
        <v>3.7400000000000003E-2</v>
      </c>
      <c r="N31" s="127"/>
      <c r="Q31" s="127"/>
    </row>
    <row r="32" spans="2:17" x14ac:dyDescent="0.3">
      <c r="B32" s="121" t="s">
        <v>281</v>
      </c>
      <c r="C32" s="127">
        <v>23</v>
      </c>
      <c r="E32" s="127">
        <v>23</v>
      </c>
      <c r="G32" s="132">
        <f t="shared" si="0"/>
        <v>0</v>
      </c>
      <c r="N32" s="127"/>
      <c r="Q32" s="127"/>
    </row>
    <row r="33" spans="2:17" x14ac:dyDescent="0.3">
      <c r="B33" s="121" t="s">
        <v>282</v>
      </c>
      <c r="C33" s="129">
        <v>191753</v>
      </c>
      <c r="D33" s="130"/>
      <c r="E33" s="129">
        <v>178093</v>
      </c>
      <c r="F33" s="130"/>
      <c r="G33" s="131">
        <f t="shared" si="0"/>
        <v>7.6700000000000004E-2</v>
      </c>
      <c r="N33" s="127"/>
      <c r="Q33" s="127"/>
    </row>
    <row r="34" spans="2:17" x14ac:dyDescent="0.3">
      <c r="B34" s="121" t="s">
        <v>283</v>
      </c>
      <c r="C34" s="127">
        <v>120585</v>
      </c>
      <c r="D34" s="127"/>
      <c r="E34" s="127">
        <v>112504</v>
      </c>
      <c r="G34" s="128">
        <f t="shared" si="0"/>
        <v>7.1800000000000003E-2</v>
      </c>
    </row>
    <row r="35" spans="2:17" x14ac:dyDescent="0.3">
      <c r="N35" s="127"/>
      <c r="Q35" s="127"/>
    </row>
    <row r="36" spans="2:17" x14ac:dyDescent="0.3">
      <c r="B36" s="133"/>
      <c r="C36" s="133"/>
      <c r="D36" s="133"/>
      <c r="E36" s="133"/>
      <c r="F36" s="133"/>
      <c r="G36" s="133"/>
      <c r="N36" s="127"/>
      <c r="Q36" s="127"/>
    </row>
    <row r="39" spans="2:17" x14ac:dyDescent="0.3">
      <c r="B39" s="122"/>
      <c r="C39" s="127"/>
      <c r="D39" s="127"/>
      <c r="E39" s="127"/>
      <c r="G39" s="128"/>
    </row>
    <row r="40" spans="2:17" x14ac:dyDescent="0.3">
      <c r="B40" s="134"/>
      <c r="C40" s="127"/>
      <c r="D40" s="127"/>
      <c r="E40" s="127"/>
      <c r="G40" s="128"/>
    </row>
    <row r="41" spans="2:17" x14ac:dyDescent="0.3">
      <c r="B41" s="135"/>
      <c r="C41" s="136"/>
      <c r="D41" s="136"/>
      <c r="E41" s="136"/>
      <c r="G41" s="128"/>
    </row>
    <row r="42" spans="2:17" x14ac:dyDescent="0.3">
      <c r="B42" s="122"/>
      <c r="C42" s="127"/>
      <c r="D42" s="127"/>
      <c r="E42" s="127"/>
      <c r="G42" s="128"/>
    </row>
    <row r="43" spans="2:17" x14ac:dyDescent="0.3">
      <c r="N43" s="127"/>
      <c r="Q43" s="127"/>
    </row>
  </sheetData>
  <sheetProtection algorithmName="SHA-512" hashValue="EtFhkbJ14aCwCdbydFUArubZllsWed4rGLqQRzxdELO+OTDLr9JCit7vKCQRIfOU5oTJKthkQYF3t940hVRWUA==" saltValue="VPFbWs8ilCVR4ZkGOpomUg==" spinCount="100000" sheet="1" objects="1" scenarios="1"/>
  <pageMargins left="0.7" right="0.7" top="0.75" bottom="0.75" header="0.3" footer="0.3"/>
  <pageSetup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Appendix L TERM 2019</vt:lpstr>
      <vt:lpstr>Appendix M TERM 2019</vt:lpstr>
      <vt:lpstr>2019 Regression</vt:lpstr>
      <vt:lpstr>Appendix N TERM 2019</vt:lpstr>
      <vt:lpstr>Appendix O TERM 2019</vt:lpstr>
      <vt:lpstr>Appendix P TERM 2019</vt:lpstr>
      <vt:lpstr>Appendix Q</vt:lpstr>
      <vt:lpstr>Appendix R</vt:lpstr>
      <vt:lpstr>'Appendix M TERM 2019'!Print_Area</vt:lpstr>
      <vt:lpstr>'Appendix P TERM 2019'!Print_Area</vt:lpstr>
      <vt:lpstr>'Appendix P TERM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2020-11-18T16:01:13Z</dcterms:modified>
</cp:coreProperties>
</file>