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jWShLsI5lBmue/1GXAb1TrNl5D8znKP2SEHHnyOb9STLHZqgkoNFmmsTqHYAiEW+o4wWS/HTomXVzIgrhNSA0A==" workbookSaltValue="F5mHxvYSchZpw6qWNoJryA==" workbookSpinCount="100000" lockStructure="1"/>
  <bookViews>
    <workbookView xWindow="240" yWindow="228" windowWidth="14808" windowHeight="7896" tabRatio="887"/>
  </bookViews>
  <sheets>
    <sheet name="Appendix H SEA 2019" sheetId="15" r:id="rId1"/>
    <sheet name="2019 Regression" sheetId="19" state="hidden" r:id="rId2"/>
    <sheet name="Appendix I SEA 2019" sheetId="13" r:id="rId3"/>
    <sheet name="Appendix J SEA 2019" sheetId="12" r:id="rId4"/>
    <sheet name="Appendix J 2 SEA 2019" sheetId="11" r:id="rId5"/>
    <sheet name="Appendix K 2019" sheetId="10" r:id="rId6"/>
  </sheets>
  <definedNames>
    <definedName name="_xlnm.Print_Area" localSheetId="0">'Appendix H SEA 2019'!$B$1:$N$29</definedName>
  </definedNames>
  <calcPr calcId="171027"/>
</workbook>
</file>

<file path=xl/calcChain.xml><?xml version="1.0" encoding="utf-8"?>
<calcChain xmlns="http://schemas.openxmlformats.org/spreadsheetml/2006/main">
  <c r="K17" i="15" l="1"/>
  <c r="L11" i="12" l="1"/>
  <c r="K11" i="12"/>
  <c r="L12" i="12"/>
  <c r="L10" i="12"/>
  <c r="K12" i="12"/>
  <c r="K10" i="12"/>
  <c r="J12" i="12"/>
  <c r="J10" i="12"/>
  <c r="I12" i="12"/>
  <c r="I10" i="12"/>
  <c r="H12" i="12"/>
  <c r="H10" i="12"/>
  <c r="G12" i="12"/>
  <c r="G10" i="12"/>
  <c r="F12" i="12"/>
  <c r="F10" i="12"/>
  <c r="E12" i="12"/>
  <c r="E13" i="12"/>
  <c r="E10" i="12"/>
  <c r="D13" i="13" l="1"/>
  <c r="D14" i="13"/>
  <c r="D15" i="13"/>
  <c r="D16" i="13"/>
  <c r="D17" i="13"/>
  <c r="D18" i="13"/>
  <c r="D19" i="13"/>
  <c r="D20" i="13"/>
  <c r="D12" i="13"/>
  <c r="L13" i="12" l="1"/>
  <c r="L17" i="12"/>
  <c r="L23" i="12"/>
  <c r="L24" i="12" s="1"/>
  <c r="L36" i="12"/>
  <c r="L45" i="12" s="1"/>
  <c r="L42" i="12"/>
  <c r="L43" i="12"/>
  <c r="L52" i="12"/>
  <c r="L57" i="12" s="1"/>
  <c r="L58" i="12"/>
  <c r="L59" i="12"/>
  <c r="F21" i="11"/>
  <c r="F22" i="11"/>
  <c r="F23" i="11"/>
  <c r="F24" i="11"/>
  <c r="F25" i="11" s="1"/>
  <c r="F29" i="11"/>
  <c r="F20" i="10"/>
  <c r="Q16" i="10"/>
  <c r="R7" i="10" s="1"/>
  <c r="L44" i="12" l="1"/>
  <c r="G19" i="10"/>
  <c r="G15" i="10"/>
  <c r="G13" i="10"/>
  <c r="G11" i="10"/>
  <c r="H11" i="10" s="1"/>
  <c r="G12" i="10"/>
  <c r="G14" i="10"/>
  <c r="G16" i="10"/>
  <c r="G17" i="10"/>
  <c r="G18" i="10"/>
  <c r="L41" i="12"/>
  <c r="L25" i="12"/>
  <c r="L26" i="12" s="1"/>
  <c r="L27" i="12" s="1"/>
  <c r="L61" i="12"/>
  <c r="L60" i="12"/>
  <c r="R14" i="10"/>
  <c r="R6" i="10"/>
  <c r="R13" i="10"/>
  <c r="R5" i="10"/>
  <c r="R12" i="10"/>
  <c r="R4" i="10"/>
  <c r="R11" i="10"/>
  <c r="R10" i="10"/>
  <c r="R9" i="10"/>
  <c r="R3" i="10"/>
  <c r="S3" i="10" s="1"/>
  <c r="R8" i="10"/>
  <c r="R15" i="10"/>
  <c r="S4" i="10" l="1"/>
  <c r="S5" i="10" s="1"/>
  <c r="S6" i="10" s="1"/>
  <c r="S7" i="10" s="1"/>
  <c r="S8" i="10" s="1"/>
  <c r="S9" i="10" s="1"/>
  <c r="S10" i="10" s="1"/>
  <c r="S11" i="10" s="1"/>
  <c r="S12" i="10" s="1"/>
  <c r="S13" i="10" s="1"/>
  <c r="S14" i="10" s="1"/>
  <c r="S15" i="10" s="1"/>
  <c r="H12" i="10"/>
  <c r="H13" i="10" s="1"/>
  <c r="H14" i="10" s="1"/>
  <c r="H15" i="10" s="1"/>
  <c r="H16" i="10" s="1"/>
  <c r="H17" i="10" s="1"/>
  <c r="H18" i="10" s="1"/>
  <c r="H19" i="10" s="1"/>
  <c r="I42" i="12" l="1"/>
  <c r="J42" i="12"/>
  <c r="K42" i="12"/>
  <c r="I43" i="12"/>
  <c r="J43" i="12"/>
  <c r="K43" i="12"/>
  <c r="F36" i="12"/>
  <c r="G36" i="12"/>
  <c r="H36" i="12"/>
  <c r="I36" i="12"/>
  <c r="I41" i="12" s="1"/>
  <c r="J36" i="12"/>
  <c r="J45" i="12" s="1"/>
  <c r="K36" i="12"/>
  <c r="K41" i="12" s="1"/>
  <c r="K44" i="12" l="1"/>
  <c r="K45" i="12"/>
  <c r="J44" i="12"/>
  <c r="I44" i="12"/>
  <c r="J41" i="12"/>
  <c r="I45" i="12"/>
  <c r="I52" i="12"/>
  <c r="I57" i="12" s="1"/>
  <c r="J52" i="12"/>
  <c r="J57" i="12" s="1"/>
  <c r="I58" i="12"/>
  <c r="J58" i="12"/>
  <c r="I59" i="12"/>
  <c r="J59" i="12"/>
  <c r="I13" i="12"/>
  <c r="J13" i="12"/>
  <c r="I17" i="12"/>
  <c r="J17" i="12"/>
  <c r="I23" i="12"/>
  <c r="I24" i="12" s="1"/>
  <c r="J23" i="12"/>
  <c r="J24" i="12" s="1"/>
  <c r="J60" i="12" l="1"/>
  <c r="I60" i="12"/>
  <c r="J25" i="12"/>
  <c r="J26" i="12" s="1"/>
  <c r="J27" i="12" s="1"/>
  <c r="I25" i="12"/>
  <c r="I26" i="12" s="1"/>
  <c r="I27" i="12" s="1"/>
  <c r="J61" i="12"/>
  <c r="I61" i="12"/>
  <c r="G29" i="11" l="1"/>
  <c r="H29" i="11"/>
  <c r="I29" i="11"/>
  <c r="J29" i="11"/>
  <c r="K29" i="11"/>
  <c r="G21" i="11" l="1"/>
  <c r="G22" i="11"/>
  <c r="G23" i="11"/>
  <c r="G24" i="11"/>
  <c r="G25" i="11" s="1"/>
  <c r="J21" i="11"/>
  <c r="J22" i="11"/>
  <c r="J23" i="11"/>
  <c r="J24" i="11"/>
  <c r="J25" i="11" s="1"/>
  <c r="G21" i="13" l="1"/>
  <c r="E58" i="12" l="1"/>
  <c r="F58" i="12"/>
  <c r="G58" i="12"/>
  <c r="E59" i="12"/>
  <c r="F59" i="12"/>
  <c r="G59" i="12"/>
  <c r="F52" i="12"/>
  <c r="F57" i="12" s="1"/>
  <c r="E52" i="12"/>
  <c r="E57" i="12" s="1"/>
  <c r="F13" i="12"/>
  <c r="G13" i="12"/>
  <c r="H13" i="12"/>
  <c r="K13" i="12"/>
  <c r="E17" i="12"/>
  <c r="F17" i="12"/>
  <c r="G17" i="12"/>
  <c r="H17" i="12"/>
  <c r="K17" i="12"/>
  <c r="E42" i="12"/>
  <c r="F42" i="12"/>
  <c r="G42" i="12"/>
  <c r="H42" i="12"/>
  <c r="E43" i="12"/>
  <c r="F43" i="12"/>
  <c r="G43" i="12"/>
  <c r="H43" i="12"/>
  <c r="F41" i="12"/>
  <c r="E36" i="12"/>
  <c r="E41" i="12" s="1"/>
  <c r="F23" i="12"/>
  <c r="E23" i="12"/>
  <c r="I24" i="11"/>
  <c r="I25" i="11" s="1"/>
  <c r="I23" i="11"/>
  <c r="I22" i="11"/>
  <c r="I21" i="11"/>
  <c r="G52" i="12"/>
  <c r="G57" i="12" s="1"/>
  <c r="H52" i="12"/>
  <c r="K52" i="12"/>
  <c r="G41" i="12"/>
  <c r="H41" i="12"/>
  <c r="E45" i="12" l="1"/>
  <c r="G61" i="12"/>
  <c r="G44" i="12"/>
  <c r="F61" i="12"/>
  <c r="E61" i="12"/>
  <c r="G60" i="12"/>
  <c r="F60" i="12"/>
  <c r="E60" i="12"/>
  <c r="E25" i="12"/>
  <c r="E26" i="12" s="1"/>
  <c r="E27" i="12" s="1"/>
  <c r="F45" i="12"/>
  <c r="F44" i="12"/>
  <c r="E44" i="12"/>
  <c r="F25" i="12"/>
  <c r="F26" i="12" s="1"/>
  <c r="F27" i="12" s="1"/>
  <c r="H44" i="12"/>
  <c r="H45" i="12"/>
  <c r="G45" i="12"/>
  <c r="F24" i="12"/>
  <c r="E24" i="12"/>
  <c r="K18" i="15" l="1"/>
  <c r="G19" i="13"/>
  <c r="G18" i="13"/>
  <c r="G17" i="13"/>
  <c r="G16" i="13"/>
  <c r="G15" i="13"/>
  <c r="G14" i="13"/>
  <c r="G13" i="13"/>
  <c r="G12" i="13"/>
  <c r="G20" i="13"/>
  <c r="D55" i="12"/>
  <c r="D53" i="12"/>
  <c r="D51" i="12"/>
  <c r="L28" i="12" s="1"/>
  <c r="L29" i="12" s="1"/>
  <c r="K61" i="12"/>
  <c r="H61" i="12"/>
  <c r="K60" i="12"/>
  <c r="H60" i="12"/>
  <c r="K59" i="12"/>
  <c r="H59" i="12"/>
  <c r="K58" i="12"/>
  <c r="H58" i="12"/>
  <c r="K57" i="12"/>
  <c r="H57" i="12"/>
  <c r="K23" i="12"/>
  <c r="K24" i="12" s="1"/>
  <c r="H23" i="12"/>
  <c r="H24" i="12" s="1"/>
  <c r="G23" i="12"/>
  <c r="G24" i="12" s="1"/>
  <c r="D19" i="11"/>
  <c r="F26" i="11" s="1"/>
  <c r="F27" i="11" s="1"/>
  <c r="L29" i="11"/>
  <c r="E29" i="11"/>
  <c r="L24" i="11"/>
  <c r="L25" i="11" s="1"/>
  <c r="K24" i="11"/>
  <c r="K25" i="11" s="1"/>
  <c r="H24" i="11"/>
  <c r="H25" i="11" s="1"/>
  <c r="E24" i="11"/>
  <c r="E25" i="11" s="1"/>
  <c r="L23" i="11"/>
  <c r="K23" i="11"/>
  <c r="H23" i="11"/>
  <c r="E23" i="11"/>
  <c r="L22" i="11"/>
  <c r="K22" i="11"/>
  <c r="H22" i="11"/>
  <c r="E22" i="11"/>
  <c r="L21" i="11"/>
  <c r="K21" i="11"/>
  <c r="H21" i="11"/>
  <c r="E21" i="11"/>
  <c r="A14" i="11"/>
  <c r="A15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I28" i="12" l="1"/>
  <c r="I29" i="12" s="1"/>
  <c r="J28" i="12"/>
  <c r="J29" i="12" s="1"/>
  <c r="J26" i="11"/>
  <c r="J27" i="11" s="1"/>
  <c r="G26" i="11"/>
  <c r="G27" i="11" s="1"/>
  <c r="D58" i="12"/>
  <c r="F28" i="12"/>
  <c r="F29" i="12" s="1"/>
  <c r="E28" i="12"/>
  <c r="E29" i="12" s="1"/>
  <c r="L26" i="11"/>
  <c r="L27" i="11" s="1"/>
  <c r="I26" i="11"/>
  <c r="I27" i="11" s="1"/>
  <c r="H12" i="13"/>
  <c r="E17" i="15" s="1"/>
  <c r="G17" i="15" s="1"/>
  <c r="G28" i="12"/>
  <c r="H28" i="12"/>
  <c r="K28" i="12"/>
  <c r="G25" i="12"/>
  <c r="G26" i="12" s="1"/>
  <c r="G27" i="12" s="1"/>
  <c r="H25" i="12"/>
  <c r="H26" i="12" s="1"/>
  <c r="H27" i="12" s="1"/>
  <c r="K25" i="12"/>
  <c r="K26" i="12" s="1"/>
  <c r="K27" i="12" s="1"/>
  <c r="H26" i="11"/>
  <c r="H27" i="11" s="1"/>
  <c r="K26" i="11"/>
  <c r="K27" i="11" s="1"/>
  <c r="E26" i="11"/>
  <c r="H29" i="12" l="1"/>
  <c r="G29" i="12"/>
  <c r="D28" i="12"/>
  <c r="K29" i="12"/>
  <c r="E27" i="11"/>
  <c r="D27" i="11" s="1"/>
  <c r="D26" i="11"/>
  <c r="C16" i="15" l="1"/>
  <c r="D29" i="12"/>
  <c r="C21" i="13" s="1"/>
  <c r="D21" i="13" s="1"/>
  <c r="C17" i="15" l="1"/>
  <c r="I17" i="15" s="1"/>
  <c r="I16" i="15"/>
  <c r="M16" i="15" s="1"/>
  <c r="C18" i="15" l="1"/>
  <c r="I18" i="15"/>
  <c r="M18" i="15" s="1"/>
  <c r="M17" i="15"/>
</calcChain>
</file>

<file path=xl/sharedStrings.xml><?xml version="1.0" encoding="utf-8"?>
<sst xmlns="http://schemas.openxmlformats.org/spreadsheetml/2006/main" count="346" uniqueCount="170">
  <si>
    <t>Capacity Related Expense (CR)</t>
  </si>
  <si>
    <t>Direct Expense, Includes Fuel</t>
  </si>
  <si>
    <t>Indirect Expense</t>
  </si>
  <si>
    <t>CR Markup</t>
  </si>
  <si>
    <t>Circuity Markup</t>
  </si>
  <si>
    <t>By Aircraft Type</t>
  </si>
  <si>
    <t>Less Psgr. Liability Insurance</t>
  </si>
  <si>
    <t>Linehaul Expense Allocable to Mail</t>
  </si>
  <si>
    <t>Marked Up Costs (R11*R4*R5*R8)</t>
  </si>
  <si>
    <t xml:space="preserve">Percentage of Eligible Mail RTMs </t>
  </si>
  <si>
    <t>Cost Wtd. By Mail RTMs (R15*R16)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</si>
  <si>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</si>
  <si>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</si>
  <si>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</si>
  <si>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</si>
  <si>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</si>
  <si>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</si>
  <si>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</si>
  <si>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</si>
  <si>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</si>
  <si>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</si>
  <si>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</si>
  <si>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</si>
  <si>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</si>
  <si>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</si>
  <si>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</si>
  <si>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</si>
  <si>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</si>
  <si>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</si>
  <si>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</si>
  <si>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Total</t>
  </si>
  <si>
    <t>Cost per Block Hour (R11÷ R18)</t>
  </si>
  <si>
    <t>Eligible Expense (R13*R32÷R18)</t>
  </si>
  <si>
    <t>Return and Tax Markup</t>
  </si>
  <si>
    <t>T-100 Seg. Mail RTMs</t>
  </si>
  <si>
    <t>T-100 Mkt. Mail RTMs</t>
  </si>
  <si>
    <t>Eligible Cost per RTM (R14÷R36)</t>
  </si>
  <si>
    <t>Carrier</t>
  </si>
  <si>
    <t>Price per Gallon</t>
  </si>
  <si>
    <t>Burn per Hour</t>
  </si>
  <si>
    <t>Costs per Hour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</si>
  <si>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</si>
  <si>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</si>
  <si>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</si>
  <si>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</si>
  <si>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</si>
  <si>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</si>
  <si>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</si>
  <si>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K3</t>
  </si>
  <si>
    <t>Pacific</t>
  </si>
  <si>
    <t>3F</t>
  </si>
  <si>
    <t>Al. Seaplane</t>
  </si>
  <si>
    <t>J5</t>
  </si>
  <si>
    <t>Island</t>
  </si>
  <si>
    <t>2O</t>
  </si>
  <si>
    <t>Beaver</t>
  </si>
  <si>
    <t>Linehaul, Seaplane</t>
  </si>
  <si>
    <t>Total Eligible RTMs, T-100 Segment</t>
  </si>
  <si>
    <t>$/RTM</t>
  </si>
  <si>
    <t>Nonfuel</t>
  </si>
  <si>
    <t>Linehaul</t>
  </si>
  <si>
    <t>Actual Y</t>
  </si>
  <si>
    <t>Natural Log</t>
  </si>
  <si>
    <t>Regression Statistics</t>
  </si>
  <si>
    <t>Multiple R</t>
  </si>
  <si>
    <t>R Square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</si>
  <si>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</si>
  <si>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</si>
  <si>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</si>
  <si>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</si>
  <si>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</si>
  <si>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</si>
  <si>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</si>
  <si>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</si>
  <si>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</si>
  <si>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</si>
  <si>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</si>
  <si>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</si>
  <si>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</si>
  <si>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</si>
  <si>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</si>
  <si>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</si>
  <si>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</si>
  <si>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</si>
  <si>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</si>
  <si>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</si>
  <si>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</si>
  <si>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</si>
  <si>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</si>
  <si>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</si>
  <si>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</si>
  <si>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</si>
  <si>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</si>
  <si>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</si>
  <si>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</si>
  <si>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</si>
  <si>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</si>
  <si>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</si>
  <si>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Current Rate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</si>
  <si>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</si>
  <si>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</si>
  <si>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</si>
  <si>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</si>
  <si>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</si>
  <si>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</si>
  <si>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</si>
  <si>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</si>
  <si>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</si>
  <si>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</si>
  <si>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</si>
  <si>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3/ Reflects the fact that from the midpoint of the reporting period to the midpoint of the prospective</t>
  </si>
  <si>
    <t>The total is the sum of the two. The final order will reflect the most recent quarterly fuel costs available at the time.</t>
  </si>
  <si>
    <t>5/ Column 4 ÷ Column 5 less 1.</t>
  </si>
  <si>
    <t>Increase</t>
  </si>
  <si>
    <t>Cumulative</t>
  </si>
  <si>
    <t>2-Ltr.</t>
  </si>
  <si>
    <t>A/C Type</t>
  </si>
  <si>
    <t>Percent</t>
  </si>
  <si>
    <t>Taquan</t>
  </si>
  <si>
    <t>Eligible</t>
  </si>
  <si>
    <t xml:space="preserve">Predicted </t>
  </si>
  <si>
    <t>Linehual, Seaplane</t>
  </si>
  <si>
    <t>Total Fuel Expense, Schedule F-2</t>
  </si>
  <si>
    <t>Total Gallons Issued, Schedule F-2</t>
  </si>
  <si>
    <t>Ratio of Total to Revenue Block Hours</t>
  </si>
  <si>
    <t>Adjusted R Square</t>
  </si>
  <si>
    <t>Standard Error</t>
  </si>
  <si>
    <t>t Stat</t>
  </si>
  <si>
    <t>Std. Error</t>
  </si>
  <si>
    <t>Alaska Seaplanes</t>
  </si>
  <si>
    <t>Island Air Service</t>
  </si>
  <si>
    <t>Island Air Express</t>
  </si>
  <si>
    <t>Caravan</t>
  </si>
  <si>
    <t>Eligible Block Hours, T-100 Segment</t>
  </si>
  <si>
    <t>Air Excursions LLC</t>
  </si>
  <si>
    <t>Pacific Airways, Inc.</t>
  </si>
  <si>
    <t>I4</t>
  </si>
  <si>
    <t>Appendix K</t>
  </si>
  <si>
    <t>Is. Air Exp</t>
  </si>
  <si>
    <t>G. Caravan</t>
  </si>
  <si>
    <t>Otter</t>
  </si>
  <si>
    <t>C206/7/8</t>
  </si>
  <si>
    <t>SUMMARY OUTPUT</t>
  </si>
  <si>
    <t>Lower 95.0%</t>
  </si>
  <si>
    <t>Upper 95.0%</t>
  </si>
  <si>
    <t>RESIDUAL OUTPUT</t>
  </si>
  <si>
    <t>Observation</t>
  </si>
  <si>
    <t>a 12-month period.</t>
  </si>
  <si>
    <t>Grand Total</t>
  </si>
  <si>
    <t>YE 6/30/08</t>
  </si>
  <si>
    <t>1/  Nonfuel, Appendix M, Page 1 of 2; Fuel, Appendix M, Page 2 of 2.</t>
  </si>
  <si>
    <t>2/ We assume fuel increases will be zero.  For nonfuel, see "predicted annual increase" in Appendix L, Page 1 of 2.</t>
  </si>
  <si>
    <t>Regression Analysis of the Nonfuel Linehaul Unit Cost per RTM</t>
  </si>
  <si>
    <t>EXP(Y)</t>
  </si>
  <si>
    <t xml:space="preserve">Annual </t>
  </si>
  <si>
    <t>Year-</t>
  </si>
  <si>
    <t>Ended</t>
  </si>
  <si>
    <t>Taquan Air Service</t>
  </si>
  <si>
    <t>Air Excursions had no eligible Mail RTMs during this time period.</t>
  </si>
  <si>
    <r>
      <t xml:space="preserve">Determination of Carriers Included in the Class Rates, One Percent Rule, YE </t>
    </r>
    <r>
      <rPr>
        <sz val="11"/>
        <color rgb="FFFF0000"/>
        <rFont val="Times New Roman"/>
        <family val="1"/>
      </rPr>
      <t>9-30-19</t>
    </r>
  </si>
  <si>
    <r>
      <t xml:space="preserve">rate is 2 years.  </t>
    </r>
    <r>
      <rPr>
        <sz val="11"/>
        <color rgb="FFFF0000"/>
        <rFont val="Times New Roman"/>
        <family val="1"/>
      </rPr>
      <t>1.0205 x 1.0205 = 1.0414, where 1.0205</t>
    </r>
    <r>
      <rPr>
        <sz val="11"/>
        <color theme="1"/>
        <rFont val="Times New Roman"/>
        <family val="1"/>
      </rPr>
      <t xml:space="preserve"> is the average annual unit cost increase projected for</t>
    </r>
  </si>
  <si>
    <r>
      <t xml:space="preserve">4/ Fuel reflects YE </t>
    </r>
    <r>
      <rPr>
        <sz val="11"/>
        <color rgb="FFFF0000"/>
        <rFont val="Times New Roman"/>
        <family val="1"/>
      </rPr>
      <t>9-30-19</t>
    </r>
    <r>
      <rPr>
        <sz val="11"/>
        <color theme="1"/>
        <rFont val="Times New Roman"/>
        <family val="1"/>
      </rPr>
      <t xml:space="preserve">, Appendix M, Page 2 of 2.  Nonfuel is column (1) mulitplied by Column (3). </t>
    </r>
  </si>
  <si>
    <r>
      <rPr>
        <u/>
        <sz val="11"/>
        <rFont val="Times New Roman"/>
        <family val="1"/>
      </rPr>
      <t xml:space="preserve">to YE </t>
    </r>
    <r>
      <rPr>
        <u/>
        <sz val="11"/>
        <color rgb="FFFF0000"/>
        <rFont val="Times New Roman"/>
        <family val="1"/>
      </rPr>
      <t>9/30/19</t>
    </r>
  </si>
  <si>
    <r>
      <t xml:space="preserve">Year Ended September 30, </t>
    </r>
    <r>
      <rPr>
        <sz val="8"/>
        <color rgb="FFFF0000"/>
        <rFont val="Times New Roman"/>
        <family val="1"/>
      </rPr>
      <t>2019</t>
    </r>
  </si>
  <si>
    <r>
      <t xml:space="preserve">Year Ended September 30, </t>
    </r>
    <r>
      <rPr>
        <sz val="11"/>
        <color rgb="FFFF0000"/>
        <rFont val="Times New Roman"/>
        <family val="1"/>
      </rPr>
      <t>2019</t>
    </r>
  </si>
  <si>
    <r>
      <rPr>
        <u/>
        <sz val="11"/>
        <rFont val="Times New Roman"/>
        <family val="1"/>
      </rPr>
      <t xml:space="preserve">Order </t>
    </r>
    <r>
      <rPr>
        <u/>
        <sz val="11"/>
        <color rgb="FFFF0000"/>
        <rFont val="Times New Roman"/>
        <family val="1"/>
      </rPr>
      <t>2020-6-15</t>
    </r>
  </si>
  <si>
    <t>Appendix H</t>
  </si>
  <si>
    <t>Appendix I</t>
  </si>
  <si>
    <t>Appendix J</t>
  </si>
  <si>
    <r>
      <t xml:space="preserve">Calculation of the Linehaul, Seaplane, </t>
    </r>
    <r>
      <rPr>
        <sz val="11"/>
        <rFont val="Times New Roman"/>
        <family val="1"/>
      </rPr>
      <t>YE</t>
    </r>
    <r>
      <rPr>
        <sz val="11"/>
        <color rgb="FFFF0000"/>
        <rFont val="Times New Roman"/>
        <family val="1"/>
      </rPr>
      <t xml:space="preserve"> 9-30-19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</si>
</sst>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%"/>
    <numFmt numFmtId="169" formatCode="0.00000000"/>
    <numFmt numFmtId="170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u val="double"/>
      <sz val="8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u/>
      <sz val="11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u val="double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0" fontId="3" fillId="0" borderId="0" xfId="0" applyNumberFormat="1" applyFont="1"/>
    <xf numFmtId="0" fontId="1" fillId="0" borderId="1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Continuous"/>
    </xf>
    <xf numFmtId="166" fontId="3" fillId="0" borderId="0" xfId="0" applyNumberFormat="1" applyFont="1"/>
    <xf numFmtId="166" fontId="4" fillId="0" borderId="0" xfId="0" applyNumberFormat="1" applyFont="1"/>
    <xf numFmtId="10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0" fontId="1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10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7" fontId="5" fillId="0" borderId="0" xfId="0" applyNumberFormat="1" applyFont="1"/>
    <xf numFmtId="4" fontId="5" fillId="0" borderId="0" xfId="0" applyNumberFormat="1" applyFo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166" fontId="1" fillId="0" borderId="0" xfId="0" applyNumberFormat="1" applyFont="1" applyBorder="1"/>
    <xf numFmtId="0" fontId="1" fillId="0" borderId="0" xfId="0" applyFont="1" applyFill="1" applyBorder="1" applyAlignment="1"/>
    <xf numFmtId="10" fontId="1" fillId="0" borderId="0" xfId="0" applyNumberFormat="1" applyFont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2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0" fontId="2" fillId="0" borderId="0" xfId="0" applyNumberFormat="1" applyFont="1"/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0" fontId="1" fillId="2" borderId="0" xfId="0" applyFont="1" applyFill="1"/>
    <xf numFmtId="0" fontId="0" fillId="0" borderId="0" xfId="0" applyFill="1" applyBorder="1" applyAlignment="1"/>
    <xf numFmtId="0" fontId="0" fillId="0" borderId="3" xfId="0" applyFill="1" applyBorder="1" applyAlignment="1"/>
    <xf numFmtId="166" fontId="7" fillId="2" borderId="0" xfId="0" applyNumberFormat="1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Continuous"/>
    </xf>
    <xf numFmtId="3" fontId="2" fillId="0" borderId="0" xfId="0" applyNumberFormat="1" applyFont="1" applyAlignment="1">
      <alignment horizontal="right"/>
    </xf>
    <xf numFmtId="165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3" fillId="2" borderId="0" xfId="0" applyNumberFormat="1" applyFont="1" applyFill="1" applyAlignment="1">
      <alignment horizontal="right"/>
    </xf>
    <xf numFmtId="0" fontId="14" fillId="0" borderId="0" xfId="0" applyFont="1" applyAlignment="1">
      <alignment horizontal="center"/>
    </xf>
    <xf numFmtId="3" fontId="0" fillId="0" borderId="0" xfId="0" applyNumberFormat="1"/>
    <xf numFmtId="0" fontId="1" fillId="2" borderId="0" xfId="0" applyFont="1" applyFill="1" applyBorder="1"/>
    <xf numFmtId="164" fontId="1" fillId="3" borderId="0" xfId="0" applyNumberFormat="1" applyFont="1" applyFill="1"/>
    <xf numFmtId="3" fontId="1" fillId="3" borderId="0" xfId="0" applyNumberFormat="1" applyFont="1" applyFill="1"/>
    <xf numFmtId="164" fontId="5" fillId="3" borderId="0" xfId="0" applyNumberFormat="1" applyFont="1" applyFill="1"/>
    <xf numFmtId="3" fontId="5" fillId="3" borderId="0" xfId="0" applyNumberFormat="1" applyFont="1" applyFill="1"/>
    <xf numFmtId="164" fontId="6" fillId="3" borderId="0" xfId="0" applyNumberFormat="1" applyFont="1" applyFill="1"/>
    <xf numFmtId="3" fontId="6" fillId="3" borderId="0" xfId="0" applyNumberFormat="1" applyFont="1" applyFill="1"/>
    <xf numFmtId="10" fontId="1" fillId="0" borderId="0" xfId="1" applyNumberFormat="1" applyFont="1" applyBorder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Continuous"/>
    </xf>
    <xf numFmtId="3" fontId="1" fillId="0" borderId="0" xfId="0" applyNumberFormat="1" applyFont="1" applyBorder="1"/>
    <xf numFmtId="0" fontId="0" fillId="0" borderId="5" xfId="0" applyBorder="1"/>
    <xf numFmtId="168" fontId="1" fillId="0" borderId="0" xfId="1" applyNumberFormat="1" applyFont="1"/>
    <xf numFmtId="168" fontId="1" fillId="0" borderId="5" xfId="1" applyNumberFormat="1" applyFont="1" applyBorder="1"/>
    <xf numFmtId="168" fontId="1" fillId="0" borderId="0" xfId="0" applyNumberFormat="1" applyFont="1"/>
    <xf numFmtId="0" fontId="0" fillId="0" borderId="3" xfId="0" applyBorder="1"/>
    <xf numFmtId="168" fontId="1" fillId="0" borderId="3" xfId="1" applyNumberFormat="1" applyFont="1" applyBorder="1"/>
    <xf numFmtId="168" fontId="1" fillId="0" borderId="3" xfId="0" applyNumberFormat="1" applyFont="1" applyBorder="1"/>
    <xf numFmtId="168" fontId="1" fillId="0" borderId="5" xfId="0" applyNumberFormat="1" applyFont="1" applyBorder="1"/>
    <xf numFmtId="10" fontId="1" fillId="0" borderId="0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17" fillId="3" borderId="0" xfId="0" applyNumberFormat="1" applyFont="1" applyFill="1"/>
    <xf numFmtId="10" fontId="17" fillId="0" borderId="0" xfId="0" applyNumberFormat="1" applyFont="1"/>
    <xf numFmtId="169" fontId="1" fillId="0" borderId="0" xfId="0" applyNumberFormat="1" applyFont="1" applyBorder="1"/>
    <xf numFmtId="169" fontId="1" fillId="0" borderId="3" xfId="0" applyNumberFormat="1" applyFont="1" applyBorder="1"/>
    <xf numFmtId="166" fontId="1" fillId="0" borderId="3" xfId="0" applyNumberFormat="1" applyFont="1" applyBorder="1" applyAlignment="1">
      <alignment horizontal="right"/>
    </xf>
    <xf numFmtId="0" fontId="1" fillId="0" borderId="3" xfId="0" applyFont="1" applyFill="1" applyBorder="1" applyAlignment="1"/>
    <xf numFmtId="0" fontId="19" fillId="0" borderId="4" xfId="0" applyFont="1" applyFill="1" applyBorder="1" applyAlignment="1">
      <alignment horizontal="centerContinuous"/>
    </xf>
    <xf numFmtId="170" fontId="0" fillId="0" borderId="0" xfId="2" applyNumberFormat="1" applyFont="1"/>
    <xf numFmtId="170" fontId="0" fillId="0" borderId="3" xfId="2" applyNumberFormat="1" applyFont="1" applyBorder="1"/>
    <xf numFmtId="170" fontId="0" fillId="0" borderId="5" xfId="2" applyNumberFormat="1" applyFont="1" applyBorder="1"/>
    <xf numFmtId="0" fontId="1" fillId="0" borderId="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0888083320966928E-2"/>
                  <c:y val="0.2254348542060799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`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'Appendix I SEA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I SEA 2019'!$D$12:$D$21</c:f>
              <c:numCache>
                <c:formatCode>0.00000000</c:formatCode>
                <c:ptCount val="10"/>
                <c:pt idx="0">
                  <c:v>3.2620655740437163</c:v>
                </c:pt>
                <c:pt idx="1">
                  <c:v>3.2198593410575547</c:v>
                </c:pt>
                <c:pt idx="2">
                  <c:v>3.2078067884972934</c:v>
                </c:pt>
                <c:pt idx="3">
                  <c:v>3.1431043159580021</c:v>
                </c:pt>
                <c:pt idx="4">
                  <c:v>3.1380734954217515</c:v>
                </c:pt>
                <c:pt idx="5">
                  <c:v>3.2419851033299976</c:v>
                </c:pt>
                <c:pt idx="6">
                  <c:v>3.2502310707905391</c:v>
                </c:pt>
                <c:pt idx="7">
                  <c:v>3.2985110649226965</c:v>
                </c:pt>
                <c:pt idx="8">
                  <c:v>3.360392748102309</c:v>
                </c:pt>
                <c:pt idx="9">
                  <c:v>3.5158315275860179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53E-A4FE-773EC89648FA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I SEA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I SEA 2019'!$E$12:$E$21</c:f>
              <c:numCache>
                <c:formatCode>General</c:formatCode>
                <c:ptCount val="10"/>
                <c:pt idx="0">
                  <c:v>3.1522130550289442</c:v>
                </c:pt>
                <c:pt idx="1">
                  <c:v>3.1724808908418369</c:v>
                </c:pt>
                <c:pt idx="2">
                  <c:v>3.2181806959761134</c:v>
                </c:pt>
                <c:pt idx="3">
                  <c:v>3.2384485317890066</c:v>
                </c:pt>
                <c:pt idx="4">
                  <c:v>3.2587163676018993</c:v>
                </c:pt>
                <c:pt idx="5">
                  <c:v>3.2789842034147925</c:v>
                </c:pt>
                <c:pt idx="6">
                  <c:v>3.299307567544981</c:v>
                </c:pt>
                <c:pt idx="7">
                  <c:v>3.3195754033578737</c:v>
                </c:pt>
                <c:pt idx="8">
                  <c:v>3.3398432391707669</c:v>
                </c:pt>
                <c:pt idx="9">
                  <c:v>3.3601110749836596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53E-A4FE-773EC896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6816"/>
        <c:axId val="135428736"/>
      </c:scatterChart>
      <c:valAx>
        <c:axId val="135426816"/>
        <c:scaling>
          <c:orientation val="minMax"/>
          <c:max val="43800"/>
          <c:min val="397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</a:t>
                </a:r>
                <a:r>
                  <a:rPr lang="en-US"/>
                  <a:t>Ended June 30, 2009, through September 30, 2019</a:t>
                </a:r>
              </a:p>
            </c:rich>
          </c:tx>
          <c:overlay val="0"/>
        </c:title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5428736"/>
        <c:crosses val="autoZero"/>
        <c:crossBetween val="midCat"/>
      </c:valAx>
      <c:valAx>
        <c:axId val="13542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354268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14</xdr:col>
      <xdr:colOff>7620</xdr:colOff>
      <xdr:row>59</xdr:row>
      <xdr:rowOff>7620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917A79-F9E2-4F26-B9A9-11F7D3AB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810768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35072</xdr:colOff>
      <xdr:row>5</xdr:row>
      <xdr:rowOff>31824</xdr:rowOff>
    </xdr:from>
    <xdr:to>
      <xdr:col>21</xdr:col>
      <xdr:colOff>114299</xdr:colOff>
      <xdr:row>31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43</xdr:row>
      <xdr:rowOff>0</xdr:rowOff>
    </xdr:from>
    <xdr:to>
      <xdr:col>10</xdr:col>
      <xdr:colOff>182880</xdr:colOff>
      <xdr:row>85</xdr:row>
      <xdr:rowOff>45720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3584D15-D171-477D-9BCF-A22CF105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574280"/>
          <a:ext cx="7635240" cy="740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36</xdr:row>
      <xdr:rowOff>0</xdr:rowOff>
    </xdr:from>
    <xdr:to>
      <xdr:col>22</xdr:col>
      <xdr:colOff>7620</xdr:colOff>
      <xdr:row>69</xdr:row>
      <xdr:rowOff>22860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1D7C6D-C6F6-4A22-9A1D-BAD75AD4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2460" y="6339840"/>
          <a:ext cx="6880860" cy="581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12</xdr:col>
      <xdr:colOff>190500</xdr:colOff>
      <xdr:row>124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A41C48-1270-44D6-9E65-BCFBF622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237220"/>
          <a:ext cx="7642860" cy="811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12</xdr:col>
      <xdr:colOff>7620</xdr:colOff>
      <xdr:row>59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16E5A8-915E-4388-B3F5-B68B4705E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8747760" cy="509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10</xdr:col>
      <xdr:colOff>7620</xdr:colOff>
      <xdr:row>48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C78289-5B2D-48E6-9240-8273B3B0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"/>
          <a:ext cx="6111240" cy="423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tabSelected="1" topLeftCell="A28" workbookViewId="0">
      <selection activeCell="A31" sqref="A31"/>
    </sheetView>
  </sheetViews>
  <sheetFormatPr defaultColWidth="9.109375" defaultRowHeight="13.8" x14ac:dyDescent="0.25"/>
  <cols>
    <col min="1" max="1" width="2.6640625" style="6" customWidth="1"/>
    <col min="2" max="2" width="17.5546875" style="6" bestFit="1" customWidth="1"/>
    <col min="3" max="3" width="11.33203125" style="6" bestFit="1" customWidth="1"/>
    <col min="4" max="4" width="2.88671875" style="6" bestFit="1" customWidth="1"/>
    <col min="5" max="5" width="13.88671875" style="6" bestFit="1" customWidth="1"/>
    <col min="6" max="6" width="2.88671875" style="6" bestFit="1" customWidth="1"/>
    <col min="7" max="7" width="12" style="6" bestFit="1" customWidth="1"/>
    <col min="8" max="8" width="2.88671875" style="6" bestFit="1" customWidth="1"/>
    <col min="9" max="9" width="12.33203125" style="6" bestFit="1" customWidth="1"/>
    <col min="10" max="10" width="2.6640625" style="6" bestFit="1" customWidth="1"/>
    <col min="11" max="11" width="16.88671875" style="6" bestFit="1" customWidth="1"/>
    <col min="12" max="12" width="2.88671875" style="6" bestFit="1" customWidth="1"/>
    <col min="13" max="13" width="12.33203125" style="6" bestFit="1" customWidth="1"/>
    <col min="14" max="14" width="4.88671875" style="6" customWidth="1"/>
    <col min="15" max="16384" width="9.109375" style="6"/>
  </cols>
  <sheetData>
    <row r="1" spans="2:14" x14ac:dyDescent="0.25">
      <c r="N1" s="3"/>
    </row>
    <row r="2" spans="2:14" x14ac:dyDescent="0.25">
      <c r="N2" s="3" t="s">
        <v>56</v>
      </c>
    </row>
    <row r="3" spans="2:14" x14ac:dyDescent="0.25">
      <c r="N3" s="3" t="s">
        <v>166</v>
      </c>
    </row>
    <row r="5" spans="2:14" x14ac:dyDescent="0.25">
      <c r="C5" s="57" t="s">
        <v>169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8" spans="2:14" x14ac:dyDescent="0.25">
      <c r="B8" s="2"/>
      <c r="C8" s="58" t="s">
        <v>85</v>
      </c>
      <c r="D8" s="58"/>
      <c r="E8" s="58" t="s">
        <v>86</v>
      </c>
      <c r="F8" s="58"/>
      <c r="G8" s="58" t="s">
        <v>87</v>
      </c>
      <c r="H8" s="58"/>
      <c r="I8" s="58" t="s">
        <v>88</v>
      </c>
      <c r="J8" s="58"/>
      <c r="K8" s="58" t="s">
        <v>89</v>
      </c>
      <c r="L8" s="58"/>
      <c r="M8" s="58" t="s">
        <v>90</v>
      </c>
    </row>
    <row r="9" spans="2:14" s="2" customFormat="1" x14ac:dyDescent="0.25"/>
    <row r="10" spans="2:14" s="2" customFormat="1" x14ac:dyDescent="0.25">
      <c r="E10" s="3" t="s">
        <v>91</v>
      </c>
    </row>
    <row r="11" spans="2:14" s="2" customFormat="1" x14ac:dyDescent="0.25">
      <c r="E11" s="3" t="s">
        <v>92</v>
      </c>
      <c r="G11" s="3" t="s">
        <v>93</v>
      </c>
      <c r="H11" s="3"/>
      <c r="I11" s="3" t="s">
        <v>94</v>
      </c>
      <c r="J11" s="3"/>
      <c r="K11" s="3"/>
      <c r="L11" s="3"/>
      <c r="M11" s="3"/>
    </row>
    <row r="12" spans="2:14" s="2" customFormat="1" x14ac:dyDescent="0.25">
      <c r="C12" s="2" t="s">
        <v>95</v>
      </c>
      <c r="E12" s="3" t="s">
        <v>149</v>
      </c>
      <c r="G12" s="3" t="s">
        <v>96</v>
      </c>
      <c r="H12" s="3"/>
      <c r="I12" s="3" t="s">
        <v>97</v>
      </c>
      <c r="J12" s="3"/>
      <c r="K12" s="3" t="s">
        <v>98</v>
      </c>
      <c r="L12" s="3"/>
      <c r="M12" s="3" t="s">
        <v>99</v>
      </c>
    </row>
    <row r="13" spans="2:14" s="4" customFormat="1" x14ac:dyDescent="0.25">
      <c r="C13" s="59">
        <v>43738</v>
      </c>
      <c r="D13" s="62" t="s">
        <v>100</v>
      </c>
      <c r="E13" s="60" t="s">
        <v>162</v>
      </c>
      <c r="F13" s="4" t="s">
        <v>101</v>
      </c>
      <c r="G13" s="5" t="s">
        <v>102</v>
      </c>
      <c r="H13" s="5" t="s">
        <v>103</v>
      </c>
      <c r="I13" s="61">
        <v>44286</v>
      </c>
      <c r="J13" s="63" t="s">
        <v>104</v>
      </c>
      <c r="K13" s="60" t="s">
        <v>165</v>
      </c>
      <c r="L13" s="5"/>
      <c r="M13" s="5" t="s">
        <v>105</v>
      </c>
      <c r="N13" s="4" t="s">
        <v>106</v>
      </c>
    </row>
    <row r="14" spans="2:14" s="2" customFormat="1" x14ac:dyDescent="0.25">
      <c r="B14" s="2" t="s">
        <v>107</v>
      </c>
    </row>
    <row r="15" spans="2:14" s="2" customFormat="1" x14ac:dyDescent="0.25">
      <c r="B15" s="2" t="s">
        <v>108</v>
      </c>
    </row>
    <row r="16" spans="2:14" x14ac:dyDescent="0.25">
      <c r="B16" s="56" t="s">
        <v>109</v>
      </c>
      <c r="C16" s="55">
        <f>'Appendix J 2 SEA 2019'!D27</f>
        <v>4.0327982679154148</v>
      </c>
      <c r="D16" s="12"/>
      <c r="E16" s="2">
        <v>0</v>
      </c>
      <c r="G16" s="2">
        <v>0</v>
      </c>
      <c r="I16" s="55">
        <f>C16</f>
        <v>4.0327982679154148</v>
      </c>
      <c r="J16" s="12"/>
      <c r="K16" s="55">
        <v>3.5564</v>
      </c>
      <c r="L16" s="12"/>
      <c r="M16" s="14">
        <f>I16/K16-1</f>
        <v>0.13395519849156878</v>
      </c>
    </row>
    <row r="17" spans="2:13" x14ac:dyDescent="0.25">
      <c r="B17" s="56" t="s">
        <v>59</v>
      </c>
      <c r="C17" s="54">
        <f>'Appendix J SEA 2019'!D29-C16</f>
        <v>33.643892120210118</v>
      </c>
      <c r="D17" s="13"/>
      <c r="E17" s="14">
        <f>'Appendix I SEA 2019'!$H$12</f>
        <v>2.047462307783654E-2</v>
      </c>
      <c r="F17" s="7"/>
      <c r="G17" s="14">
        <f>(1+E17)*(1+(E17*1))-1</f>
        <v>4.1368456345852511E-2</v>
      </c>
      <c r="H17" s="7"/>
      <c r="I17" s="54">
        <f>(1+G17)*C17</f>
        <v>35.035688002689604</v>
      </c>
      <c r="J17" s="13"/>
      <c r="K17" s="54">
        <f>32.7399-3.5564</f>
        <v>29.183499999999999</v>
      </c>
      <c r="L17" s="12"/>
      <c r="M17" s="64">
        <f>I17/K17-1</f>
        <v>0.2005307109390444</v>
      </c>
    </row>
    <row r="18" spans="2:13" x14ac:dyDescent="0.25">
      <c r="C18" s="55">
        <f>SUM(C16:C17)</f>
        <v>37.676690388125536</v>
      </c>
      <c r="D18" s="12"/>
      <c r="I18" s="55">
        <f>SUM(I16:I17)</f>
        <v>39.068486270605021</v>
      </c>
      <c r="J18" s="12"/>
      <c r="K18" s="55">
        <f>SUM(K16:K17)</f>
        <v>32.739899999999999</v>
      </c>
      <c r="L18" s="12"/>
      <c r="M18" s="14">
        <f>I18/K18-1</f>
        <v>0.19329888822522445</v>
      </c>
    </row>
    <row r="21" spans="2:13" x14ac:dyDescent="0.25">
      <c r="B21" s="37" t="s">
        <v>150</v>
      </c>
      <c r="C21" s="10"/>
      <c r="D21" s="10"/>
      <c r="E21" s="10"/>
      <c r="F21" s="10"/>
      <c r="G21" s="10"/>
      <c r="H21" s="10"/>
      <c r="I21" s="10"/>
      <c r="J21" s="10"/>
      <c r="K21" s="10"/>
      <c r="L21" s="9"/>
    </row>
    <row r="22" spans="2:13" x14ac:dyDescent="0.25">
      <c r="B22" s="2" t="s">
        <v>151</v>
      </c>
    </row>
    <row r="23" spans="2:13" x14ac:dyDescent="0.25">
      <c r="B23" s="2" t="s">
        <v>110</v>
      </c>
    </row>
    <row r="24" spans="2:13" x14ac:dyDescent="0.25">
      <c r="B24" s="2" t="s">
        <v>160</v>
      </c>
    </row>
    <row r="25" spans="2:13" x14ac:dyDescent="0.25">
      <c r="B25" s="2" t="s">
        <v>147</v>
      </c>
    </row>
    <row r="26" spans="2:13" x14ac:dyDescent="0.25">
      <c r="B26" s="2" t="s">
        <v>161</v>
      </c>
    </row>
    <row r="27" spans="2:13" x14ac:dyDescent="0.25">
      <c r="B27" s="2" t="s">
        <v>111</v>
      </c>
    </row>
    <row r="28" spans="2:13" x14ac:dyDescent="0.25">
      <c r="B28" s="2" t="s">
        <v>112</v>
      </c>
    </row>
  </sheetData>
  <sheetProtection algorithmName="SHA-512" hashValue="k3JOQypCsiU4N8KmlXXxOVZryD8VxuHFvMWsFa/Jnv2FXIKhklRkes1/hEk387Ihfmr0j5Ix+Q4FIiWBu0pHDg==" saltValue="+0/rRASYPgX8+PvjfZI5Vg==" spinCount="100000" sheet="1" objects="1" scenarios="1"/>
  <pageMargins left="0.7" right="0.7" top="0.75" bottom="0.75" header="0.3" footer="0.3"/>
  <pageSetup scale="78" orientation="portrait" verticalDpi="598" r:id="rId1"/>
  <ignoredErrors>
    <ignoredError sqref="C8:M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142</v>
      </c>
    </row>
    <row r="2" spans="1:9" ht="15" thickBot="1" x14ac:dyDescent="0.35"/>
    <row r="3" spans="1:9" x14ac:dyDescent="0.3">
      <c r="A3" s="89" t="s">
        <v>63</v>
      </c>
      <c r="B3" s="89"/>
    </row>
    <row r="4" spans="1:9" x14ac:dyDescent="0.3">
      <c r="A4" s="68" t="s">
        <v>64</v>
      </c>
      <c r="B4" s="68">
        <v>0.6262365904554188</v>
      </c>
    </row>
    <row r="5" spans="1:9" x14ac:dyDescent="0.3">
      <c r="A5" s="68" t="s">
        <v>65</v>
      </c>
      <c r="B5" s="68">
        <v>0.39217226722522797</v>
      </c>
    </row>
    <row r="6" spans="1:9" x14ac:dyDescent="0.3">
      <c r="A6" s="68" t="s">
        <v>125</v>
      </c>
      <c r="B6" s="68">
        <v>0.31619380062838148</v>
      </c>
    </row>
    <row r="7" spans="1:9" x14ac:dyDescent="0.3">
      <c r="A7" s="68" t="s">
        <v>126</v>
      </c>
      <c r="B7" s="68">
        <v>9.1485939839077032E-2</v>
      </c>
    </row>
    <row r="8" spans="1:9" ht="15" thickBot="1" x14ac:dyDescent="0.35">
      <c r="A8" s="69" t="s">
        <v>66</v>
      </c>
      <c r="B8" s="69">
        <v>10</v>
      </c>
    </row>
    <row r="10" spans="1:9" ht="15" thickBot="1" x14ac:dyDescent="0.35">
      <c r="A10" t="s">
        <v>67</v>
      </c>
    </row>
    <row r="11" spans="1:9" x14ac:dyDescent="0.3">
      <c r="A11" s="88"/>
      <c r="B11" s="88" t="s">
        <v>71</v>
      </c>
      <c r="C11" s="88" t="s">
        <v>72</v>
      </c>
      <c r="D11" s="88" t="s">
        <v>73</v>
      </c>
      <c r="E11" s="88" t="s">
        <v>74</v>
      </c>
      <c r="F11" s="88" t="s">
        <v>75</v>
      </c>
    </row>
    <row r="12" spans="1:9" x14ac:dyDescent="0.3">
      <c r="A12" s="68" t="s">
        <v>68</v>
      </c>
      <c r="B12" s="68">
        <v>1</v>
      </c>
      <c r="C12" s="68">
        <v>4.3201125606702903E-2</v>
      </c>
      <c r="D12" s="68">
        <v>4.3201125606702903E-2</v>
      </c>
      <c r="E12" s="68">
        <v>5.1616238756982904</v>
      </c>
      <c r="F12" s="68">
        <v>5.2732114229304662E-2</v>
      </c>
    </row>
    <row r="13" spans="1:9" x14ac:dyDescent="0.3">
      <c r="A13" s="68" t="s">
        <v>69</v>
      </c>
      <c r="B13" s="68">
        <v>8</v>
      </c>
      <c r="C13" s="68">
        <v>6.6957417505913774E-2</v>
      </c>
      <c r="D13" s="68">
        <v>8.3696771882392218E-3</v>
      </c>
      <c r="E13" s="68"/>
      <c r="F13" s="68"/>
    </row>
    <row r="14" spans="1:9" ht="15" thickBot="1" x14ac:dyDescent="0.35">
      <c r="A14" s="69" t="s">
        <v>30</v>
      </c>
      <c r="B14" s="69">
        <v>9</v>
      </c>
      <c r="C14" s="69">
        <v>0.11015854311261668</v>
      </c>
      <c r="D14" s="69"/>
      <c r="E14" s="69"/>
      <c r="F14" s="69"/>
    </row>
    <row r="15" spans="1:9" ht="15" thickBot="1" x14ac:dyDescent="0.35"/>
    <row r="16" spans="1:9" x14ac:dyDescent="0.3">
      <c r="A16" s="88"/>
      <c r="B16" s="88" t="s">
        <v>76</v>
      </c>
      <c r="C16" s="88" t="s">
        <v>126</v>
      </c>
      <c r="D16" s="88" t="s">
        <v>127</v>
      </c>
      <c r="E16" s="88" t="s">
        <v>77</v>
      </c>
      <c r="F16" s="88" t="s">
        <v>78</v>
      </c>
      <c r="G16" s="88" t="s">
        <v>79</v>
      </c>
      <c r="H16" s="88" t="s">
        <v>143</v>
      </c>
      <c r="I16" s="88" t="s">
        <v>144</v>
      </c>
    </row>
    <row r="17" spans="1:9" x14ac:dyDescent="0.3">
      <c r="A17" s="68" t="s">
        <v>70</v>
      </c>
      <c r="B17" s="68">
        <v>0.93141353310883179</v>
      </c>
      <c r="C17" s="68">
        <v>1.0270158015010344</v>
      </c>
      <c r="D17" s="68">
        <v>0.90691256331940051</v>
      </c>
      <c r="E17" s="68">
        <v>0.39095138834432674</v>
      </c>
      <c r="F17" s="68">
        <v>-1.4368891520725757</v>
      </c>
      <c r="G17" s="68">
        <v>3.2997162182902393</v>
      </c>
      <c r="H17" s="68">
        <v>-1.4368891520725757</v>
      </c>
      <c r="I17" s="68">
        <v>3.2997162182902393</v>
      </c>
    </row>
    <row r="18" spans="1:9" ht="15" thickBot="1" x14ac:dyDescent="0.35">
      <c r="A18" s="69" t="s">
        <v>80</v>
      </c>
      <c r="B18" s="69">
        <v>5.5528317295597146E-5</v>
      </c>
      <c r="C18" s="69">
        <v>2.4441133078937903E-5</v>
      </c>
      <c r="D18" s="69">
        <v>2.2719207459104487</v>
      </c>
      <c r="E18" s="69">
        <v>5.2732114229304662E-2</v>
      </c>
      <c r="F18" s="69">
        <v>-8.3303665350901448E-7</v>
      </c>
      <c r="G18" s="69">
        <v>1.1188967124470331E-4</v>
      </c>
      <c r="H18" s="69">
        <v>-8.3303665350901448E-7</v>
      </c>
      <c r="I18" s="69">
        <v>1.1188967124470331E-4</v>
      </c>
    </row>
    <row r="22" spans="1:9" x14ac:dyDescent="0.3">
      <c r="A22" t="s">
        <v>145</v>
      </c>
    </row>
    <row r="23" spans="1:9" ht="15" thickBot="1" x14ac:dyDescent="0.35"/>
    <row r="24" spans="1:9" x14ac:dyDescent="0.3">
      <c r="A24" s="88" t="s">
        <v>146</v>
      </c>
      <c r="B24" s="88" t="s">
        <v>81</v>
      </c>
      <c r="C24" s="88" t="s">
        <v>82</v>
      </c>
    </row>
    <row r="25" spans="1:9" x14ac:dyDescent="0.3">
      <c r="A25" s="68">
        <v>1</v>
      </c>
      <c r="B25" s="68">
        <v>3.1522130550289442</v>
      </c>
      <c r="C25" s="68">
        <v>0.10985251901477211</v>
      </c>
    </row>
    <row r="26" spans="1:9" x14ac:dyDescent="0.3">
      <c r="A26" s="68">
        <v>2</v>
      </c>
      <c r="B26" s="68">
        <v>3.1724808908418369</v>
      </c>
      <c r="C26" s="68">
        <v>4.7378450215717738E-2</v>
      </c>
    </row>
    <row r="27" spans="1:9" x14ac:dyDescent="0.3">
      <c r="A27" s="68">
        <v>3</v>
      </c>
      <c r="B27" s="68">
        <v>3.2181806959761134</v>
      </c>
      <c r="C27" s="68">
        <v>-1.0373907478820055E-2</v>
      </c>
    </row>
    <row r="28" spans="1:9" x14ac:dyDescent="0.3">
      <c r="A28" s="68">
        <v>4</v>
      </c>
      <c r="B28" s="68">
        <v>3.2384485317890066</v>
      </c>
      <c r="C28" s="68">
        <v>-9.5344215831004497E-2</v>
      </c>
    </row>
    <row r="29" spans="1:9" x14ac:dyDescent="0.3">
      <c r="A29" s="68">
        <v>5</v>
      </c>
      <c r="B29" s="68">
        <v>3.2587163676018993</v>
      </c>
      <c r="C29" s="68">
        <v>-0.1206428721801478</v>
      </c>
    </row>
    <row r="30" spans="1:9" x14ac:dyDescent="0.3">
      <c r="A30" s="68">
        <v>6</v>
      </c>
      <c r="B30" s="68">
        <v>3.2789842034147925</v>
      </c>
      <c r="C30" s="68">
        <v>-3.69991000847949E-2</v>
      </c>
    </row>
    <row r="31" spans="1:9" x14ac:dyDescent="0.3">
      <c r="A31" s="68">
        <v>7</v>
      </c>
      <c r="B31" s="68">
        <v>3.299307567544981</v>
      </c>
      <c r="C31" s="68">
        <v>-4.9076496754441923E-2</v>
      </c>
    </row>
    <row r="32" spans="1:9" x14ac:dyDescent="0.3">
      <c r="A32" s="68">
        <v>8</v>
      </c>
      <c r="B32" s="68">
        <v>3.3195754033578737</v>
      </c>
      <c r="C32" s="68">
        <v>-2.1064338435177188E-2</v>
      </c>
    </row>
    <row r="33" spans="1:3" x14ac:dyDescent="0.3">
      <c r="A33" s="68">
        <v>9</v>
      </c>
      <c r="B33" s="68">
        <v>3.3398432391707669</v>
      </c>
      <c r="C33" s="68">
        <v>2.0549508931542171E-2</v>
      </c>
    </row>
    <row r="34" spans="1:3" ht="15" thickBot="1" x14ac:dyDescent="0.35">
      <c r="A34" s="69">
        <v>10</v>
      </c>
      <c r="B34" s="69">
        <v>3.3601110749836596</v>
      </c>
      <c r="C34" s="69">
        <v>0.15572045260235834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showGridLines="0" topLeftCell="E23" zoomScaleNormal="100" workbookViewId="0">
      <selection activeCell="L37" sqref="L37"/>
    </sheetView>
  </sheetViews>
  <sheetFormatPr defaultColWidth="9.109375" defaultRowHeight="13.8" x14ac:dyDescent="0.25"/>
  <cols>
    <col min="1" max="1" width="2.5546875" style="2" customWidth="1"/>
    <col min="2" max="2" width="15.6640625" style="2" customWidth="1"/>
    <col min="3" max="3" width="12.6640625" style="2" customWidth="1"/>
    <col min="4" max="4" width="12.5546875" style="2" customWidth="1"/>
    <col min="5" max="6" width="12.6640625" style="2" customWidth="1"/>
    <col min="7" max="7" width="12.88671875" style="2" customWidth="1"/>
    <col min="8" max="8" width="11.33203125" style="2" customWidth="1"/>
    <col min="9" max="16384" width="9.109375" style="2"/>
  </cols>
  <sheetData>
    <row r="1" spans="2:21" x14ac:dyDescent="0.25">
      <c r="B1" s="1"/>
      <c r="C1" s="1"/>
      <c r="D1" s="1"/>
      <c r="E1" s="1"/>
      <c r="F1" s="1"/>
      <c r="G1" s="1"/>
      <c r="H1" s="1"/>
      <c r="I1" s="38"/>
      <c r="T1" s="38"/>
    </row>
    <row r="2" spans="2:21" x14ac:dyDescent="0.25">
      <c r="B2" s="1"/>
      <c r="C2" s="1"/>
      <c r="D2" s="1"/>
      <c r="E2" s="1"/>
      <c r="F2" s="1"/>
      <c r="G2" s="1"/>
      <c r="H2" s="1"/>
      <c r="J2" s="38" t="s">
        <v>56</v>
      </c>
      <c r="U2" s="38" t="s">
        <v>56</v>
      </c>
    </row>
    <row r="3" spans="2:21" x14ac:dyDescent="0.25">
      <c r="B3" s="1"/>
      <c r="C3" s="1"/>
      <c r="D3" s="1"/>
      <c r="E3" s="1"/>
      <c r="F3" s="1"/>
      <c r="G3" s="1"/>
      <c r="H3" s="1"/>
      <c r="J3" s="38" t="s">
        <v>167</v>
      </c>
      <c r="U3" s="38" t="s">
        <v>167</v>
      </c>
    </row>
    <row r="4" spans="2:21" x14ac:dyDescent="0.25">
      <c r="B4" s="112" t="s">
        <v>152</v>
      </c>
      <c r="C4" s="112"/>
      <c r="D4" s="112"/>
      <c r="E4" s="112"/>
      <c r="F4" s="112"/>
      <c r="G4" s="112"/>
      <c r="H4" s="112"/>
      <c r="J4" s="39" t="s">
        <v>83</v>
      </c>
      <c r="U4" s="39" t="s">
        <v>84</v>
      </c>
    </row>
    <row r="5" spans="2:21" x14ac:dyDescent="0.25">
      <c r="B5" s="1"/>
      <c r="C5" s="1"/>
      <c r="D5" s="1"/>
      <c r="E5" s="1"/>
      <c r="F5" s="1"/>
      <c r="G5" s="1"/>
      <c r="H5" s="1"/>
      <c r="I5" s="1"/>
    </row>
    <row r="6" spans="2:21" x14ac:dyDescent="0.25">
      <c r="B6" s="1"/>
      <c r="C6" s="1"/>
      <c r="D6" s="1"/>
      <c r="E6" s="1"/>
      <c r="F6" s="1"/>
      <c r="G6" s="1"/>
      <c r="H6" s="1"/>
      <c r="I6" s="1"/>
    </row>
    <row r="7" spans="2:21" x14ac:dyDescent="0.25">
      <c r="B7" s="1"/>
      <c r="C7" s="1"/>
      <c r="D7" s="38" t="s">
        <v>61</v>
      </c>
      <c r="E7" s="1"/>
      <c r="F7" s="1"/>
      <c r="G7" s="1"/>
      <c r="H7" s="1"/>
    </row>
    <row r="8" spans="2:21" x14ac:dyDescent="0.25">
      <c r="B8" s="1"/>
      <c r="C8" s="1"/>
      <c r="D8" s="38" t="s">
        <v>62</v>
      </c>
      <c r="E8" s="1"/>
      <c r="F8" s="1"/>
      <c r="G8" s="1"/>
      <c r="H8" s="1"/>
    </row>
    <row r="9" spans="2:21" x14ac:dyDescent="0.25">
      <c r="B9" s="38"/>
      <c r="C9" s="38" t="s">
        <v>58</v>
      </c>
      <c r="D9" s="38" t="s">
        <v>58</v>
      </c>
      <c r="E9" s="1"/>
      <c r="F9" s="1"/>
      <c r="G9" s="1"/>
      <c r="H9" s="38" t="s">
        <v>120</v>
      </c>
    </row>
    <row r="10" spans="2:21" x14ac:dyDescent="0.25">
      <c r="B10" s="40" t="s">
        <v>155</v>
      </c>
      <c r="C10" s="38" t="s">
        <v>59</v>
      </c>
      <c r="D10" s="38" t="s">
        <v>59</v>
      </c>
      <c r="E10" s="1"/>
      <c r="F10" s="1"/>
      <c r="G10" s="1"/>
      <c r="H10" s="38" t="s">
        <v>154</v>
      </c>
    </row>
    <row r="11" spans="2:21" x14ac:dyDescent="0.25">
      <c r="B11" s="41" t="s">
        <v>156</v>
      </c>
      <c r="C11" s="42" t="s">
        <v>60</v>
      </c>
      <c r="D11" s="42" t="s">
        <v>60</v>
      </c>
      <c r="E11" s="44" t="s">
        <v>81</v>
      </c>
      <c r="F11" s="44" t="s">
        <v>82</v>
      </c>
      <c r="G11" s="42" t="s">
        <v>153</v>
      </c>
      <c r="H11" s="42" t="s">
        <v>113</v>
      </c>
    </row>
    <row r="12" spans="2:21" x14ac:dyDescent="0.25">
      <c r="B12" s="45">
        <v>39994</v>
      </c>
      <c r="C12" s="46">
        <v>26.103400000000001</v>
      </c>
      <c r="D12" s="104">
        <f>LN(C12)</f>
        <v>3.2620655740437163</v>
      </c>
      <c r="E12" s="47">
        <v>3.1522130550289442</v>
      </c>
      <c r="F12" s="47">
        <v>0.10985251901477211</v>
      </c>
      <c r="G12" s="47">
        <f t="shared" ref="G12:G19" si="0">EXP(E12)</f>
        <v>23.387765763699559</v>
      </c>
      <c r="H12" s="48">
        <f>G13/G12-1</f>
        <v>2.047462307783654E-2</v>
      </c>
    </row>
    <row r="13" spans="2:21" x14ac:dyDescent="0.25">
      <c r="B13" s="45">
        <v>40359</v>
      </c>
      <c r="C13" s="46">
        <v>25.0246</v>
      </c>
      <c r="D13" s="104">
        <f t="shared" ref="D13:D21" si="1">LN(C13)</f>
        <v>3.2198593410575547</v>
      </c>
      <c r="E13" s="47">
        <v>3.1724808908418369</v>
      </c>
      <c r="F13" s="47">
        <v>4.7378450215717738E-2</v>
      </c>
      <c r="G13" s="47">
        <f t="shared" si="0"/>
        <v>23.866621452344035</v>
      </c>
      <c r="H13" s="48"/>
    </row>
    <row r="14" spans="2:21" x14ac:dyDescent="0.25">
      <c r="B14" s="45">
        <v>41182</v>
      </c>
      <c r="C14" s="46">
        <v>24.724799999999998</v>
      </c>
      <c r="D14" s="104">
        <f t="shared" si="1"/>
        <v>3.2078067884972934</v>
      </c>
      <c r="E14" s="47">
        <v>3.2181806959761134</v>
      </c>
      <c r="F14" s="47">
        <v>-1.0373907478820055E-2</v>
      </c>
      <c r="G14" s="47">
        <f t="shared" si="0"/>
        <v>24.982627816350732</v>
      </c>
      <c r="H14" s="48"/>
    </row>
    <row r="15" spans="2:21" x14ac:dyDescent="0.25">
      <c r="B15" s="45">
        <v>41547</v>
      </c>
      <c r="C15" s="49">
        <v>23.175699999999999</v>
      </c>
      <c r="D15" s="104">
        <f t="shared" si="1"/>
        <v>3.1431043159580021</v>
      </c>
      <c r="E15" s="47">
        <v>3.2384485317890066</v>
      </c>
      <c r="F15" s="47">
        <v>-9.5344215831004497E-2</v>
      </c>
      <c r="G15" s="47">
        <f t="shared" si="0"/>
        <v>25.494137704384396</v>
      </c>
      <c r="H15" s="48"/>
    </row>
    <row r="16" spans="2:21" x14ac:dyDescent="0.25">
      <c r="B16" s="45">
        <v>41912</v>
      </c>
      <c r="C16" s="53">
        <v>23.0594</v>
      </c>
      <c r="D16" s="104">
        <f t="shared" si="1"/>
        <v>3.1380734954217515</v>
      </c>
      <c r="E16" s="47">
        <v>3.2587163676018993</v>
      </c>
      <c r="F16" s="47">
        <v>-0.1206428721801478</v>
      </c>
      <c r="G16" s="47">
        <f t="shared" si="0"/>
        <v>26.016120564576127</v>
      </c>
      <c r="H16" s="48"/>
    </row>
    <row r="17" spans="2:10" x14ac:dyDescent="0.25">
      <c r="B17" s="45">
        <v>42277</v>
      </c>
      <c r="C17" s="53">
        <v>25.584459166267578</v>
      </c>
      <c r="D17" s="104">
        <f t="shared" si="1"/>
        <v>3.2419851033299976</v>
      </c>
      <c r="E17" s="47">
        <v>3.2789842034147925</v>
      </c>
      <c r="F17" s="47">
        <v>-3.69991000847949E-2</v>
      </c>
      <c r="G17" s="47">
        <f t="shared" si="0"/>
        <v>26.548790827083383</v>
      </c>
      <c r="H17" s="48"/>
    </row>
    <row r="18" spans="2:10" x14ac:dyDescent="0.25">
      <c r="B18" s="45">
        <v>42643</v>
      </c>
      <c r="C18" s="53">
        <v>25.796299999999999</v>
      </c>
      <c r="D18" s="104">
        <f t="shared" si="1"/>
        <v>3.2502310707905391</v>
      </c>
      <c r="E18" s="47">
        <v>3.299307567544981</v>
      </c>
      <c r="F18" s="47">
        <v>-4.9076496754441923E-2</v>
      </c>
      <c r="G18" s="47">
        <f t="shared" si="0"/>
        <v>27.093871747777655</v>
      </c>
      <c r="H18" s="48"/>
    </row>
    <row r="19" spans="2:10" x14ac:dyDescent="0.25">
      <c r="B19" s="45">
        <v>43008</v>
      </c>
      <c r="C19" s="53">
        <v>27.072299999999998</v>
      </c>
      <c r="D19" s="104">
        <f t="shared" si="1"/>
        <v>3.2985110649226965</v>
      </c>
      <c r="E19" s="47">
        <v>3.3195754033578737</v>
      </c>
      <c r="F19" s="47">
        <v>-2.1064338435177188E-2</v>
      </c>
      <c r="G19" s="47">
        <f t="shared" si="0"/>
        <v>27.648608559532644</v>
      </c>
      <c r="H19" s="1"/>
    </row>
    <row r="20" spans="2:10" x14ac:dyDescent="0.25">
      <c r="B20" s="45">
        <v>43373</v>
      </c>
      <c r="C20" s="53">
        <v>28.8005</v>
      </c>
      <c r="D20" s="104">
        <f t="shared" si="1"/>
        <v>3.360392748102309</v>
      </c>
      <c r="E20" s="47">
        <v>3.3398432391707669</v>
      </c>
      <c r="F20" s="47">
        <v>2.0549508931542171E-2</v>
      </c>
      <c r="G20" s="47">
        <f>EXP(E20)</f>
        <v>28.214703398415732</v>
      </c>
      <c r="H20" s="1"/>
    </row>
    <row r="21" spans="2:10" ht="14.4" thickBot="1" x14ac:dyDescent="0.3">
      <c r="B21" s="45">
        <v>43738</v>
      </c>
      <c r="C21" s="106">
        <f>'Appendix J SEA 2019'!D29-'Appendix J 2 SEA 2019'!D27</f>
        <v>33.643892120210118</v>
      </c>
      <c r="D21" s="105">
        <f t="shared" si="1"/>
        <v>3.5158315275860179</v>
      </c>
      <c r="E21" s="107">
        <v>3.3601110749836596</v>
      </c>
      <c r="F21" s="107">
        <v>0.15572045260235834</v>
      </c>
      <c r="G21" s="107">
        <f>EXP(E21)</f>
        <v>28.792388815751245</v>
      </c>
      <c r="H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</row>
    <row r="24" spans="2:10" x14ac:dyDescent="0.25">
      <c r="B24" s="1" t="s">
        <v>67</v>
      </c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50"/>
      <c r="C25" s="44" t="s">
        <v>71</v>
      </c>
      <c r="D25" s="44" t="s">
        <v>72</v>
      </c>
      <c r="E25" s="44" t="s">
        <v>73</v>
      </c>
      <c r="F25" s="44" t="s">
        <v>74</v>
      </c>
      <c r="G25" s="44" t="s">
        <v>75</v>
      </c>
      <c r="H25" s="1"/>
      <c r="I25" s="1"/>
      <c r="J25" s="1"/>
    </row>
    <row r="26" spans="2:10" x14ac:dyDescent="0.25">
      <c r="B26" s="47" t="s">
        <v>68</v>
      </c>
      <c r="C26" s="47">
        <v>1</v>
      </c>
      <c r="D26" s="47">
        <v>4.3201125606702903E-2</v>
      </c>
      <c r="E26" s="47">
        <v>4.3201125606702903E-2</v>
      </c>
      <c r="F26" s="47">
        <v>5.1616238756982904</v>
      </c>
      <c r="G26" s="47">
        <v>5.2732114229304662E-2</v>
      </c>
      <c r="H26" s="1"/>
      <c r="I26" s="1"/>
      <c r="J26" s="1"/>
    </row>
    <row r="27" spans="2:10" x14ac:dyDescent="0.25">
      <c r="B27" s="47" t="s">
        <v>69</v>
      </c>
      <c r="C27" s="47">
        <v>8</v>
      </c>
      <c r="D27" s="47">
        <v>6.6957417505913774E-2</v>
      </c>
      <c r="E27" s="47">
        <v>8.3696771882392218E-3</v>
      </c>
      <c r="F27" s="47"/>
      <c r="G27" s="47"/>
      <c r="H27" s="1"/>
      <c r="I27" s="43"/>
      <c r="J27" s="1"/>
    </row>
    <row r="28" spans="2:10" ht="14.4" thickBot="1" x14ac:dyDescent="0.3">
      <c r="B28" s="107" t="s">
        <v>30</v>
      </c>
      <c r="C28" s="107">
        <v>9</v>
      </c>
      <c r="D28" s="107">
        <v>0.11015854311261668</v>
      </c>
      <c r="E28" s="107"/>
      <c r="F28" s="107"/>
      <c r="G28" s="107"/>
      <c r="H28" s="1"/>
      <c r="I28" s="47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47"/>
      <c r="J29" s="1"/>
    </row>
    <row r="30" spans="2:10" x14ac:dyDescent="0.25">
      <c r="B30" s="50"/>
      <c r="C30" s="44" t="s">
        <v>76</v>
      </c>
      <c r="D30" s="44" t="s">
        <v>128</v>
      </c>
      <c r="E30" s="44" t="s">
        <v>127</v>
      </c>
      <c r="F30" s="44" t="s">
        <v>77</v>
      </c>
      <c r="G30" s="44" t="s">
        <v>78</v>
      </c>
      <c r="H30" s="44" t="s">
        <v>79</v>
      </c>
      <c r="I30" s="1"/>
      <c r="J30" s="1"/>
    </row>
    <row r="31" spans="2:10" x14ac:dyDescent="0.25">
      <c r="B31" s="47" t="s">
        <v>70</v>
      </c>
      <c r="C31" s="47">
        <v>0.93141353310883179</v>
      </c>
      <c r="D31" s="47">
        <v>1.0270158015010344</v>
      </c>
      <c r="E31" s="47">
        <v>0.90691256331940051</v>
      </c>
      <c r="F31" s="47">
        <v>0.39095138834432674</v>
      </c>
      <c r="G31" s="47">
        <v>-1.4368891520725757</v>
      </c>
      <c r="H31" s="47">
        <v>3.2997162182902393</v>
      </c>
      <c r="I31" s="1"/>
      <c r="J31" s="1"/>
    </row>
    <row r="32" spans="2:10" ht="14.4" thickBot="1" x14ac:dyDescent="0.3">
      <c r="B32" s="107" t="s">
        <v>80</v>
      </c>
      <c r="C32" s="107">
        <v>5.5528317295597146E-5</v>
      </c>
      <c r="D32" s="107">
        <v>2.4441133078937903E-5</v>
      </c>
      <c r="E32" s="107">
        <v>2.2719207459104487</v>
      </c>
      <c r="F32" s="107">
        <v>5.2732114229304662E-2</v>
      </c>
      <c r="G32" s="107">
        <v>-8.3303665350901448E-7</v>
      </c>
      <c r="H32" s="107">
        <v>1.1188967124470331E-4</v>
      </c>
      <c r="I32" s="1"/>
      <c r="J32" s="1"/>
    </row>
    <row r="33" spans="2:10" x14ac:dyDescent="0.25">
      <c r="B33" s="51"/>
      <c r="C33" s="52"/>
      <c r="D33" s="52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2" t="s">
        <v>145</v>
      </c>
      <c r="D35" s="1"/>
      <c r="E35" s="1"/>
      <c r="F35" s="1"/>
      <c r="G35" s="1"/>
      <c r="H35" s="1"/>
      <c r="I35" s="1"/>
      <c r="J35" s="1"/>
    </row>
    <row r="36" spans="2:10" ht="14.4" thickBot="1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08" t="s">
        <v>63</v>
      </c>
      <c r="C37" s="108"/>
      <c r="D37" s="1"/>
      <c r="E37" s="1"/>
      <c r="F37" s="1"/>
      <c r="G37" s="1"/>
      <c r="H37" s="47"/>
      <c r="I37" s="1"/>
      <c r="J37" s="1"/>
    </row>
    <row r="38" spans="2:10" x14ac:dyDescent="0.25">
      <c r="B38" s="47" t="s">
        <v>64</v>
      </c>
      <c r="C38" s="47">
        <v>0.6262365904554188</v>
      </c>
      <c r="D38" s="1"/>
      <c r="E38" s="1"/>
      <c r="F38" s="1"/>
      <c r="G38" s="1"/>
      <c r="H38" s="47"/>
      <c r="I38" s="1"/>
      <c r="J38" s="1"/>
    </row>
    <row r="39" spans="2:10" x14ac:dyDescent="0.25">
      <c r="B39" s="47" t="s">
        <v>65</v>
      </c>
      <c r="C39" s="47">
        <v>0.39217226722522797</v>
      </c>
      <c r="D39" s="1"/>
      <c r="E39" s="1"/>
      <c r="F39" s="1"/>
      <c r="G39" s="1"/>
      <c r="H39" s="47"/>
      <c r="I39" s="1"/>
      <c r="J39" s="1"/>
    </row>
    <row r="40" spans="2:10" x14ac:dyDescent="0.25">
      <c r="B40" s="47" t="s">
        <v>125</v>
      </c>
      <c r="C40" s="47">
        <v>0.31619380062838148</v>
      </c>
      <c r="D40" s="1"/>
      <c r="E40" s="1"/>
      <c r="F40" s="1"/>
      <c r="G40" s="1"/>
      <c r="H40" s="47"/>
      <c r="I40" s="1"/>
      <c r="J40" s="1"/>
    </row>
    <row r="41" spans="2:10" x14ac:dyDescent="0.25">
      <c r="B41" s="47" t="s">
        <v>126</v>
      </c>
      <c r="C41" s="47">
        <v>9.1485939839077032E-2</v>
      </c>
      <c r="D41" s="1"/>
      <c r="E41" s="1"/>
      <c r="F41" s="1"/>
      <c r="G41" s="1"/>
      <c r="H41" s="47"/>
      <c r="I41" s="1"/>
      <c r="J41" s="1"/>
    </row>
    <row r="42" spans="2:10" ht="14.4" thickBot="1" x14ac:dyDescent="0.3">
      <c r="B42" s="107" t="s">
        <v>66</v>
      </c>
      <c r="C42" s="107">
        <v>10</v>
      </c>
      <c r="G42" s="1"/>
      <c r="H42" s="1"/>
      <c r="I42" s="1"/>
    </row>
    <row r="43" spans="2:10" x14ac:dyDescent="0.25">
      <c r="B43" s="1"/>
      <c r="G43" s="1"/>
      <c r="H43" s="1"/>
      <c r="I43" s="1"/>
    </row>
  </sheetData>
  <sheetProtection algorithmName="SHA-512" hashValue="0nOsdnl8GwmMltcpMCuNHhQvFI6n1Ul/HVeHx3tjBpKqN2qIHJrHkmXOTG8OpDHt7gXU1BttOS8BdpfTAWer8A==" saltValue="J2MUi8g0pUjvTAtT2+4LtQ==" spinCount="100000" sheet="1" objects="1" scenarios="1"/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showGridLines="0" topLeftCell="A49" zoomScale="130" zoomScaleNormal="130" workbookViewId="0">
      <selection activeCell="B63" sqref="B63"/>
    </sheetView>
  </sheetViews>
  <sheetFormatPr defaultColWidth="9.109375" defaultRowHeight="10.199999999999999" outlineLevelRow="1" x14ac:dyDescent="0.2"/>
  <cols>
    <col min="1" max="1" width="2.6640625" style="23" bestFit="1" customWidth="1"/>
    <col min="2" max="2" width="1.5546875" style="23" bestFit="1" customWidth="1"/>
    <col min="3" max="3" width="25.5546875" style="23" customWidth="1"/>
    <col min="4" max="4" width="11.33203125" style="24" bestFit="1" customWidth="1"/>
    <col min="5" max="6" width="9.109375" style="21" customWidth="1"/>
    <col min="7" max="8" width="8.6640625" style="21" bestFit="1" customWidth="1"/>
    <col min="9" max="10" width="8.6640625" style="21" customWidth="1"/>
    <col min="11" max="12" width="8.6640625" style="23" bestFit="1" customWidth="1"/>
    <col min="13" max="16384" width="9.109375" style="23"/>
  </cols>
  <sheetData>
    <row r="1" spans="1:23" x14ac:dyDescent="0.2">
      <c r="L1" s="25"/>
    </row>
    <row r="2" spans="1:23" x14ac:dyDescent="0.2">
      <c r="L2" s="25" t="s">
        <v>56</v>
      </c>
    </row>
    <row r="3" spans="1:23" x14ac:dyDescent="0.2">
      <c r="L3" s="25" t="s">
        <v>168</v>
      </c>
    </row>
    <row r="4" spans="1:23" x14ac:dyDescent="0.2">
      <c r="L4" s="25" t="s">
        <v>83</v>
      </c>
    </row>
    <row r="6" spans="1:23" ht="10.199999999999999" customHeight="1" x14ac:dyDescent="0.2">
      <c r="E6" s="113" t="s">
        <v>163</v>
      </c>
      <c r="F6" s="113"/>
      <c r="G6" s="113"/>
      <c r="H6" s="113"/>
      <c r="I6" s="113"/>
      <c r="J6" s="113"/>
      <c r="K6" s="113"/>
      <c r="L6" s="113"/>
    </row>
    <row r="8" spans="1:23" x14ac:dyDescent="0.2">
      <c r="E8" s="25" t="s">
        <v>51</v>
      </c>
      <c r="F8" s="25" t="s">
        <v>51</v>
      </c>
      <c r="G8" s="25" t="s">
        <v>51</v>
      </c>
      <c r="H8" s="25" t="s">
        <v>138</v>
      </c>
      <c r="I8" s="25" t="s">
        <v>53</v>
      </c>
      <c r="J8" s="25" t="s">
        <v>49</v>
      </c>
      <c r="K8" s="25" t="s">
        <v>118</v>
      </c>
      <c r="L8" s="25" t="s">
        <v>118</v>
      </c>
    </row>
    <row r="9" spans="1:23" x14ac:dyDescent="0.2">
      <c r="C9" s="26" t="s">
        <v>29</v>
      </c>
      <c r="D9" s="27" t="s">
        <v>30</v>
      </c>
      <c r="E9" s="24" t="s">
        <v>52</v>
      </c>
      <c r="F9" s="24" t="s">
        <v>52</v>
      </c>
      <c r="G9" s="24" t="s">
        <v>52</v>
      </c>
      <c r="H9" s="24" t="s">
        <v>136</v>
      </c>
      <c r="I9" s="24" t="s">
        <v>54</v>
      </c>
      <c r="J9" s="24" t="s">
        <v>50</v>
      </c>
      <c r="K9" s="24" t="s">
        <v>48</v>
      </c>
      <c r="L9" s="24" t="s">
        <v>48</v>
      </c>
    </row>
    <row r="10" spans="1:23" outlineLevel="1" x14ac:dyDescent="0.2">
      <c r="A10" s="23">
        <v>1</v>
      </c>
      <c r="B10" s="23" t="s">
        <v>28</v>
      </c>
      <c r="C10" s="23" t="s">
        <v>0</v>
      </c>
      <c r="E10" s="83">
        <f>111478+43543+44695+44007</f>
        <v>243723</v>
      </c>
      <c r="F10" s="102">
        <f>1003301+391883+402258+396065</f>
        <v>2193507</v>
      </c>
      <c r="G10" s="102">
        <f>1003301+391883+402258+396065</f>
        <v>2193507</v>
      </c>
      <c r="H10" s="102">
        <f>295982+293060+324147+251279</f>
        <v>1164468</v>
      </c>
      <c r="I10" s="83">
        <f>82334+76764+63471+95748</f>
        <v>318317</v>
      </c>
      <c r="J10" s="102">
        <f>53392+41969+56860+78760</f>
        <v>230981</v>
      </c>
      <c r="K10" s="83">
        <f>193114+189723+283899+147991</f>
        <v>814727</v>
      </c>
      <c r="L10" s="83">
        <f>193114+189723+283899+147991</f>
        <v>814727</v>
      </c>
    </row>
    <row r="11" spans="1:23" outlineLevel="1" x14ac:dyDescent="0.2">
      <c r="A11" s="23">
        <v>2</v>
      </c>
      <c r="B11" s="23" t="s">
        <v>28</v>
      </c>
      <c r="C11" s="23" t="s">
        <v>1</v>
      </c>
      <c r="E11" s="83">
        <v>4679323</v>
      </c>
      <c r="F11" s="83">
        <v>4679323</v>
      </c>
      <c r="G11" s="83">
        <v>4679323</v>
      </c>
      <c r="H11" s="83">
        <v>2898230</v>
      </c>
      <c r="I11" s="83">
        <v>2242670</v>
      </c>
      <c r="J11" s="102">
        <v>1360198</v>
      </c>
      <c r="K11" s="83">
        <f>4077276+1286740</f>
        <v>5364016</v>
      </c>
      <c r="L11" s="83">
        <f>4077276+1286740</f>
        <v>5364016</v>
      </c>
    </row>
    <row r="12" spans="1:23" outlineLevel="1" x14ac:dyDescent="0.2">
      <c r="A12" s="23">
        <v>3</v>
      </c>
      <c r="B12" s="23" t="s">
        <v>28</v>
      </c>
      <c r="C12" s="23" t="s">
        <v>2</v>
      </c>
      <c r="E12" s="83">
        <f>80671+73067+112895+130546</f>
        <v>397179</v>
      </c>
      <c r="F12" s="83">
        <f>726042+657605+1016058+1174918</f>
        <v>3574623</v>
      </c>
      <c r="G12" s="83">
        <f>726042+657605+1016058+1174918</f>
        <v>3574623</v>
      </c>
      <c r="H12" s="83">
        <f>293979+205692+277007+264456</f>
        <v>1041134</v>
      </c>
      <c r="I12" s="83">
        <f>187347+172900+208715+274780</f>
        <v>843742</v>
      </c>
      <c r="J12" s="102">
        <f>105275+78722+138992+220143</f>
        <v>543132</v>
      </c>
      <c r="K12" s="83">
        <f>268401+261334+465847+719113</f>
        <v>1714695</v>
      </c>
      <c r="L12" s="83">
        <f>268401+261334+465847+719113</f>
        <v>1714695</v>
      </c>
    </row>
    <row r="13" spans="1:23" s="22" customFormat="1" outlineLevel="1" x14ac:dyDescent="0.2">
      <c r="A13" s="28">
        <v>4</v>
      </c>
      <c r="B13" s="22" t="s">
        <v>28</v>
      </c>
      <c r="C13" s="22" t="s">
        <v>3</v>
      </c>
      <c r="D13" s="31"/>
      <c r="E13" s="22">
        <f t="shared" ref="E13:L13" si="0">E10/((E11+E12)-E10)</f>
        <v>5.0431232216494898E-2</v>
      </c>
      <c r="F13" s="22">
        <f t="shared" si="0"/>
        <v>0.36193863183838665</v>
      </c>
      <c r="G13" s="22">
        <f t="shared" si="0"/>
        <v>0.36193863183838665</v>
      </c>
      <c r="H13" s="22">
        <f t="shared" si="0"/>
        <v>0.41964383530049415</v>
      </c>
      <c r="I13" s="22">
        <f t="shared" si="0"/>
        <v>0.11499496946455956</v>
      </c>
      <c r="J13" s="103">
        <f t="shared" si="0"/>
        <v>0.13811770150847699</v>
      </c>
      <c r="K13" s="22">
        <f t="shared" si="0"/>
        <v>0.1300653066802214</v>
      </c>
      <c r="L13" s="22">
        <f t="shared" si="0"/>
        <v>0.1300653066802214</v>
      </c>
    </row>
    <row r="14" spans="1:23" s="22" customFormat="1" ht="13.8" outlineLevel="1" x14ac:dyDescent="0.25">
      <c r="A14" s="28">
        <v>5</v>
      </c>
      <c r="B14" s="22" t="s">
        <v>28</v>
      </c>
      <c r="C14" s="22" t="s">
        <v>33</v>
      </c>
      <c r="D14" s="31"/>
      <c r="E14" s="22">
        <v>9.4600000000000004E-2</v>
      </c>
      <c r="F14" s="22">
        <v>9.4600000000000004E-2</v>
      </c>
      <c r="G14" s="22">
        <v>9.4600000000000004E-2</v>
      </c>
      <c r="H14" s="22">
        <v>9.4600000000000004E-2</v>
      </c>
      <c r="I14" s="22">
        <v>9.4600000000000004E-2</v>
      </c>
      <c r="J14" s="22">
        <v>9.4600000000000004E-2</v>
      </c>
      <c r="K14" s="22">
        <v>9.4600000000000004E-2</v>
      </c>
      <c r="L14" s="22">
        <v>9.4600000000000004E-2</v>
      </c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9" customFormat="1" outlineLevel="1" x14ac:dyDescent="0.2">
      <c r="A15" s="19">
        <v>6</v>
      </c>
      <c r="B15" s="19" t="s">
        <v>28</v>
      </c>
      <c r="C15" s="19" t="s">
        <v>34</v>
      </c>
      <c r="D15" s="32"/>
      <c r="E15" s="84">
        <v>54750</v>
      </c>
      <c r="F15" s="84">
        <v>54750</v>
      </c>
      <c r="G15" s="84">
        <v>54750</v>
      </c>
      <c r="H15" s="84">
        <v>17813</v>
      </c>
      <c r="I15" s="84">
        <v>5336</v>
      </c>
      <c r="J15" s="84">
        <v>2667</v>
      </c>
      <c r="K15" s="84">
        <v>18910</v>
      </c>
      <c r="L15" s="84">
        <v>18910</v>
      </c>
    </row>
    <row r="16" spans="1:23" s="19" customFormat="1" outlineLevel="1" x14ac:dyDescent="0.2">
      <c r="A16" s="19">
        <v>7</v>
      </c>
      <c r="B16" s="19" t="s">
        <v>28</v>
      </c>
      <c r="C16" s="19" t="s">
        <v>35</v>
      </c>
      <c r="D16" s="32"/>
      <c r="E16" s="84">
        <v>53264</v>
      </c>
      <c r="F16" s="84">
        <v>53264</v>
      </c>
      <c r="G16" s="84">
        <v>53264</v>
      </c>
      <c r="H16" s="84">
        <v>17813</v>
      </c>
      <c r="I16" s="84">
        <v>4989</v>
      </c>
      <c r="J16" s="84">
        <v>2000</v>
      </c>
      <c r="K16" s="84">
        <v>17533</v>
      </c>
      <c r="L16" s="84">
        <v>17533</v>
      </c>
    </row>
    <row r="17" spans="1:20" outlineLevel="1" x14ac:dyDescent="0.2">
      <c r="A17" s="23">
        <v>8</v>
      </c>
      <c r="B17" s="23" t="s">
        <v>28</v>
      </c>
      <c r="C17" s="23" t="s">
        <v>4</v>
      </c>
      <c r="E17" s="22">
        <f t="shared" ref="E17:L17" si="1">E15/E16-1</f>
        <v>2.7898768398918694E-2</v>
      </c>
      <c r="F17" s="22">
        <f t="shared" si="1"/>
        <v>2.7898768398918694E-2</v>
      </c>
      <c r="G17" s="22">
        <f t="shared" si="1"/>
        <v>2.7898768398918694E-2</v>
      </c>
      <c r="H17" s="22">
        <f t="shared" si="1"/>
        <v>0</v>
      </c>
      <c r="I17" s="22">
        <f t="shared" si="1"/>
        <v>6.9553016636600518E-2</v>
      </c>
      <c r="J17" s="22">
        <f t="shared" si="1"/>
        <v>0.33349999999999991</v>
      </c>
      <c r="K17" s="22">
        <f t="shared" si="1"/>
        <v>7.8537614783551035E-2</v>
      </c>
      <c r="L17" s="22">
        <f t="shared" si="1"/>
        <v>7.8537614783551035E-2</v>
      </c>
    </row>
    <row r="18" spans="1:20" x14ac:dyDescent="0.2">
      <c r="K18" s="21"/>
      <c r="L18" s="21"/>
    </row>
    <row r="19" spans="1:20" x14ac:dyDescent="0.2">
      <c r="C19" s="23" t="s">
        <v>5</v>
      </c>
      <c r="E19" s="25" t="s">
        <v>141</v>
      </c>
      <c r="F19" s="25" t="s">
        <v>55</v>
      </c>
      <c r="G19" s="25" t="s">
        <v>132</v>
      </c>
      <c r="H19" s="25" t="s">
        <v>139</v>
      </c>
      <c r="I19" s="25" t="s">
        <v>55</v>
      </c>
      <c r="J19" s="25" t="s">
        <v>55</v>
      </c>
      <c r="K19" s="25" t="s">
        <v>55</v>
      </c>
      <c r="L19" s="25" t="s">
        <v>140</v>
      </c>
    </row>
    <row r="20" spans="1:20" s="19" customFormat="1" ht="13.8" x14ac:dyDescent="0.25">
      <c r="C20" s="20" t="s">
        <v>11</v>
      </c>
      <c r="D20" s="33"/>
      <c r="E20" s="20">
        <v>35</v>
      </c>
      <c r="F20" s="20">
        <v>40</v>
      </c>
      <c r="G20" s="20">
        <v>416</v>
      </c>
      <c r="H20" s="20">
        <v>415</v>
      </c>
      <c r="I20" s="20">
        <v>40</v>
      </c>
      <c r="J20" s="20">
        <v>40</v>
      </c>
      <c r="K20" s="20">
        <v>40</v>
      </c>
      <c r="L20" s="20">
        <v>42</v>
      </c>
      <c r="M20" s="16"/>
      <c r="N20" s="16"/>
      <c r="O20" s="16"/>
      <c r="P20" s="16"/>
      <c r="Q20" s="16"/>
      <c r="R20" s="16"/>
      <c r="S20" s="16"/>
      <c r="T20" s="16"/>
    </row>
    <row r="21" spans="1:20" outlineLevel="1" x14ac:dyDescent="0.2">
      <c r="A21" s="23">
        <v>9</v>
      </c>
      <c r="B21" s="23" t="s">
        <v>28</v>
      </c>
      <c r="C21" s="23" t="s">
        <v>1</v>
      </c>
      <c r="D21" s="25"/>
      <c r="E21" s="83">
        <v>440377</v>
      </c>
      <c r="F21" s="83">
        <v>883993</v>
      </c>
      <c r="G21" s="83">
        <v>472906</v>
      </c>
      <c r="H21" s="83">
        <v>427708</v>
      </c>
      <c r="I21" s="83">
        <v>798328</v>
      </c>
      <c r="J21" s="83">
        <v>1360198</v>
      </c>
      <c r="K21" s="83">
        <v>4077276</v>
      </c>
      <c r="L21" s="83">
        <v>1286740</v>
      </c>
    </row>
    <row r="22" spans="1:20" s="26" customFormat="1" outlineLevel="1" x14ac:dyDescent="0.2">
      <c r="A22" s="23">
        <v>10</v>
      </c>
      <c r="B22" s="23" t="s">
        <v>28</v>
      </c>
      <c r="C22" s="26" t="s">
        <v>6</v>
      </c>
      <c r="D22" s="34"/>
      <c r="E22" s="85">
        <v>6715</v>
      </c>
      <c r="F22" s="85">
        <v>10765</v>
      </c>
      <c r="G22" s="85">
        <v>9910</v>
      </c>
      <c r="H22" s="85">
        <v>7781</v>
      </c>
      <c r="I22" s="85">
        <v>29487</v>
      </c>
      <c r="J22" s="85">
        <v>42796</v>
      </c>
      <c r="K22" s="85">
        <v>74019</v>
      </c>
      <c r="L22" s="85">
        <v>65917</v>
      </c>
    </row>
    <row r="23" spans="1:20" outlineLevel="1" x14ac:dyDescent="0.2">
      <c r="A23" s="23">
        <v>11</v>
      </c>
      <c r="B23" s="23" t="s">
        <v>28</v>
      </c>
      <c r="C23" s="23" t="s">
        <v>7</v>
      </c>
      <c r="D23" s="25"/>
      <c r="E23" s="21">
        <f>E21-E22</f>
        <v>433662</v>
      </c>
      <c r="F23" s="21">
        <f>F21-F22</f>
        <v>873228</v>
      </c>
      <c r="G23" s="21">
        <f t="shared" ref="G23:L23" si="2">G21-G22</f>
        <v>462996</v>
      </c>
      <c r="H23" s="21">
        <f t="shared" si="2"/>
        <v>419927</v>
      </c>
      <c r="I23" s="21">
        <f>I21-I22</f>
        <v>768841</v>
      </c>
      <c r="J23" s="21">
        <f>J21-J22</f>
        <v>1317402</v>
      </c>
      <c r="K23" s="21">
        <f t="shared" si="2"/>
        <v>4003257</v>
      </c>
      <c r="L23" s="21">
        <f t="shared" si="2"/>
        <v>1220823</v>
      </c>
    </row>
    <row r="24" spans="1:20" outlineLevel="1" x14ac:dyDescent="0.2">
      <c r="A24" s="23">
        <v>12</v>
      </c>
      <c r="B24" s="23" t="s">
        <v>28</v>
      </c>
      <c r="C24" s="23" t="s">
        <v>31</v>
      </c>
      <c r="D24" s="25"/>
      <c r="E24" s="29">
        <f>E23/E32</f>
        <v>441.1617497456765</v>
      </c>
      <c r="F24" s="29">
        <f>F23/F32</f>
        <v>452.68429237947123</v>
      </c>
      <c r="G24" s="29">
        <f t="shared" ref="G24:L24" si="3">G23/G32</f>
        <v>529.13828571428576</v>
      </c>
      <c r="H24" s="29">
        <f t="shared" si="3"/>
        <v>922.91648351648348</v>
      </c>
      <c r="I24" s="29">
        <f>I23/I32</f>
        <v>1030.6179624664878</v>
      </c>
      <c r="J24" s="29">
        <f>J23/J32</f>
        <v>482.91862170087978</v>
      </c>
      <c r="K24" s="29">
        <f t="shared" si="3"/>
        <v>853.75495841330769</v>
      </c>
      <c r="L24" s="29">
        <f t="shared" si="3"/>
        <v>1496.1066176470588</v>
      </c>
    </row>
    <row r="25" spans="1:20" outlineLevel="1" x14ac:dyDescent="0.2">
      <c r="A25" s="23">
        <v>13</v>
      </c>
      <c r="B25" s="23" t="s">
        <v>28</v>
      </c>
      <c r="C25" s="23" t="s">
        <v>8</v>
      </c>
      <c r="D25" s="25"/>
      <c r="E25" s="21">
        <f>E23*(1+E13)*(1+E14)*(1+E17)</f>
        <v>512536.48239008576</v>
      </c>
      <c r="F25" s="21">
        <f>F23*(1+F13)*(1+F14)*(1+F17)</f>
        <v>1338107.4274543801</v>
      </c>
      <c r="G25" s="21">
        <f t="shared" ref="G25:L25" si="4">G23*(1+G13)*(1+G14)*(1+G17)</f>
        <v>709480.66997584607</v>
      </c>
      <c r="H25" s="21">
        <f t="shared" si="4"/>
        <v>652542.261913992</v>
      </c>
      <c r="I25" s="21">
        <f>I23*(1+I13)*(1+I14)*(1+I17)</f>
        <v>1003615.1386971668</v>
      </c>
      <c r="J25" s="21">
        <f>J23*(1+J13)*(1+J14)*(1+J17)</f>
        <v>2188537.3379455451</v>
      </c>
      <c r="K25" s="21">
        <f t="shared" si="4"/>
        <v>5340817.6930286847</v>
      </c>
      <c r="L25" s="21">
        <f t="shared" si="4"/>
        <v>1628722.0826582846</v>
      </c>
    </row>
    <row r="26" spans="1:20" outlineLevel="1" x14ac:dyDescent="0.2">
      <c r="A26" s="23">
        <v>14</v>
      </c>
      <c r="B26" s="23" t="s">
        <v>28</v>
      </c>
      <c r="C26" s="23" t="s">
        <v>32</v>
      </c>
      <c r="D26" s="25"/>
      <c r="E26" s="21">
        <f>E25*E48/E32</f>
        <v>336824.58557883563</v>
      </c>
      <c r="F26" s="21">
        <f>F25*F48/F32</f>
        <v>1120292.1178532005</v>
      </c>
      <c r="G26" s="21">
        <f t="shared" ref="G26:L26" si="5">G25*G48/G32</f>
        <v>689209.79369082197</v>
      </c>
      <c r="H26" s="21">
        <f t="shared" si="5"/>
        <v>367144.65725270758</v>
      </c>
      <c r="I26" s="21">
        <f>I25*I48/I32</f>
        <v>535440.78445237584</v>
      </c>
      <c r="J26" s="21">
        <f>J25*J48/J32</f>
        <v>1793830.4573483281</v>
      </c>
      <c r="K26" s="21">
        <f t="shared" si="5"/>
        <v>4710945.1862586131</v>
      </c>
      <c r="L26" s="21">
        <f t="shared" si="5"/>
        <v>1457067.5494369459</v>
      </c>
    </row>
    <row r="27" spans="1:20" outlineLevel="1" x14ac:dyDescent="0.2">
      <c r="A27" s="23">
        <v>15</v>
      </c>
      <c r="B27" s="23" t="s">
        <v>28</v>
      </c>
      <c r="C27" s="23" t="s">
        <v>36</v>
      </c>
      <c r="D27" s="30"/>
      <c r="E27" s="30">
        <f>E26/E52</f>
        <v>31.167260625412755</v>
      </c>
      <c r="F27" s="30">
        <f>F26/F52</f>
        <v>33.57284059615813</v>
      </c>
      <c r="G27" s="30">
        <f t="shared" ref="G27:L27" si="6">G26/G52</f>
        <v>18.334924014121363</v>
      </c>
      <c r="H27" s="30">
        <f t="shared" si="6"/>
        <v>27.264566853758176</v>
      </c>
      <c r="I27" s="30">
        <f>I26/I52</f>
        <v>87.262187818183804</v>
      </c>
      <c r="J27" s="30">
        <f>J26/J52</f>
        <v>44.047402267607808</v>
      </c>
      <c r="K27" s="30">
        <f t="shared" si="6"/>
        <v>40.079506434053201</v>
      </c>
      <c r="L27" s="30">
        <f t="shared" si="6"/>
        <v>39.720512211022708</v>
      </c>
    </row>
    <row r="28" spans="1:20" outlineLevel="1" x14ac:dyDescent="0.2">
      <c r="A28" s="23">
        <v>16</v>
      </c>
      <c r="B28" s="23" t="s">
        <v>28</v>
      </c>
      <c r="C28" s="23" t="s">
        <v>9</v>
      </c>
      <c r="D28" s="31">
        <f>SUM(E28:L28)</f>
        <v>1</v>
      </c>
      <c r="E28" s="35">
        <f>E51/$D51</f>
        <v>3.2932668816573828E-2</v>
      </c>
      <c r="F28" s="35">
        <f>F51/$D51</f>
        <v>7.5279325059448191E-2</v>
      </c>
      <c r="G28" s="35">
        <f t="shared" ref="G28:L28" si="7">G51/$D51</f>
        <v>7.8015570539756995E-2</v>
      </c>
      <c r="H28" s="35">
        <f t="shared" si="7"/>
        <v>9.0654418710707188E-2</v>
      </c>
      <c r="I28" s="35">
        <f>I51/$D51</f>
        <v>2.0228671943711522E-2</v>
      </c>
      <c r="J28" s="35">
        <f>J51/$D51</f>
        <v>8.6875793999804551E-2</v>
      </c>
      <c r="K28" s="35">
        <f t="shared" si="7"/>
        <v>0.44747385908335774</v>
      </c>
      <c r="L28" s="35">
        <f t="shared" si="7"/>
        <v>0.16853969184663994</v>
      </c>
    </row>
    <row r="29" spans="1:20" x14ac:dyDescent="0.2">
      <c r="A29" s="23">
        <v>17</v>
      </c>
      <c r="B29" s="23" t="s">
        <v>28</v>
      </c>
      <c r="C29" s="23" t="s">
        <v>10</v>
      </c>
      <c r="D29" s="70">
        <f>SUM(E29:L29)</f>
        <v>37.676690388125536</v>
      </c>
      <c r="E29" s="30">
        <f>E27*E28</f>
        <v>1.0264210720965599</v>
      </c>
      <c r="F29" s="30">
        <f>F27*F28</f>
        <v>2.5273407804072261</v>
      </c>
      <c r="G29" s="30">
        <f t="shared" ref="G29:L29" si="8">G27*G28</f>
        <v>1.4304095577647697</v>
      </c>
      <c r="H29" s="30">
        <f t="shared" si="8"/>
        <v>2.4716534595266624</v>
      </c>
      <c r="I29" s="30">
        <f>I27*I28</f>
        <v>1.7651981704645801</v>
      </c>
      <c r="J29" s="30">
        <f>J27*J28</f>
        <v>3.8266530456272196</v>
      </c>
      <c r="K29" s="30">
        <f t="shared" si="8"/>
        <v>17.934531414202052</v>
      </c>
      <c r="L29" s="30">
        <f t="shared" si="8"/>
        <v>6.6944828880364664</v>
      </c>
    </row>
    <row r="30" spans="1:20" x14ac:dyDescent="0.2">
      <c r="K30" s="21"/>
      <c r="L30" s="21"/>
    </row>
    <row r="31" spans="1:20" x14ac:dyDescent="0.2">
      <c r="C31" s="26" t="s">
        <v>26</v>
      </c>
      <c r="K31" s="21"/>
      <c r="L31" s="21"/>
    </row>
    <row r="32" spans="1:20" outlineLevel="1" x14ac:dyDescent="0.2">
      <c r="A32" s="23">
        <v>18</v>
      </c>
      <c r="B32" s="23" t="s">
        <v>28</v>
      </c>
      <c r="C32" s="23" t="s">
        <v>27</v>
      </c>
      <c r="D32" s="32"/>
      <c r="E32" s="84">
        <v>983</v>
      </c>
      <c r="F32" s="84">
        <v>1929</v>
      </c>
      <c r="G32" s="84">
        <v>875</v>
      </c>
      <c r="H32" s="84">
        <v>455</v>
      </c>
      <c r="I32" s="84">
        <v>746</v>
      </c>
      <c r="J32" s="84">
        <v>2728</v>
      </c>
      <c r="K32" s="84">
        <v>4689</v>
      </c>
      <c r="L32" s="84">
        <v>816</v>
      </c>
    </row>
    <row r="33" spans="1:12" outlineLevel="1" x14ac:dyDescent="0.2">
      <c r="A33" s="23">
        <v>19</v>
      </c>
      <c r="B33" s="23" t="s">
        <v>28</v>
      </c>
      <c r="C33" s="23" t="s">
        <v>12</v>
      </c>
      <c r="D33" s="32"/>
      <c r="E33" s="84">
        <v>11448</v>
      </c>
      <c r="F33" s="84">
        <v>32907</v>
      </c>
      <c r="G33" s="84">
        <v>32100</v>
      </c>
      <c r="H33" s="84">
        <v>25700</v>
      </c>
      <c r="I33" s="84">
        <v>11056</v>
      </c>
      <c r="J33" s="84">
        <v>46896</v>
      </c>
      <c r="K33" s="84">
        <v>98494</v>
      </c>
      <c r="L33" s="84">
        <v>29613</v>
      </c>
    </row>
    <row r="34" spans="1:12" outlineLevel="1" x14ac:dyDescent="0.2">
      <c r="A34" s="23">
        <v>20</v>
      </c>
      <c r="B34" s="23" t="s">
        <v>28</v>
      </c>
      <c r="C34" s="23" t="s">
        <v>13</v>
      </c>
      <c r="D34" s="32"/>
      <c r="E34" s="84">
        <v>1269</v>
      </c>
      <c r="F34" s="84">
        <v>3332</v>
      </c>
      <c r="G34" s="84">
        <v>3791</v>
      </c>
      <c r="H34" s="84">
        <v>277</v>
      </c>
      <c r="I34" s="84">
        <v>1200</v>
      </c>
      <c r="J34" s="84">
        <v>1517</v>
      </c>
      <c r="K34" s="84">
        <v>8378</v>
      </c>
      <c r="L34" s="84">
        <v>4230</v>
      </c>
    </row>
    <row r="35" spans="1:12" s="26" customFormat="1" outlineLevel="1" x14ac:dyDescent="0.2">
      <c r="A35" s="23">
        <v>21</v>
      </c>
      <c r="B35" s="23" t="s">
        <v>28</v>
      </c>
      <c r="C35" s="26" t="s">
        <v>14</v>
      </c>
      <c r="D35" s="32"/>
      <c r="E35" s="86">
        <v>1013</v>
      </c>
      <c r="F35" s="86">
        <v>2311</v>
      </c>
      <c r="G35" s="86">
        <v>2395</v>
      </c>
      <c r="H35" s="86">
        <v>2783</v>
      </c>
      <c r="I35" s="86">
        <v>622</v>
      </c>
      <c r="J35" s="86">
        <v>2673</v>
      </c>
      <c r="K35" s="86">
        <v>13737</v>
      </c>
      <c r="L35" s="86">
        <v>5174</v>
      </c>
    </row>
    <row r="36" spans="1:12" outlineLevel="1" x14ac:dyDescent="0.2">
      <c r="A36" s="23">
        <v>22</v>
      </c>
      <c r="B36" s="23" t="s">
        <v>28</v>
      </c>
      <c r="C36" s="23" t="s">
        <v>15</v>
      </c>
      <c r="D36" s="32"/>
      <c r="E36" s="19">
        <f>SUM(E33:E35)</f>
        <v>13730</v>
      </c>
      <c r="F36" s="19">
        <f t="shared" ref="F36:L36" si="9">SUM(F33:F35)</f>
        <v>38550</v>
      </c>
      <c r="G36" s="19">
        <f t="shared" si="9"/>
        <v>38286</v>
      </c>
      <c r="H36" s="19">
        <f t="shared" si="9"/>
        <v>28760</v>
      </c>
      <c r="I36" s="19">
        <f t="shared" si="9"/>
        <v>12878</v>
      </c>
      <c r="J36" s="19">
        <f t="shared" si="9"/>
        <v>51086</v>
      </c>
      <c r="K36" s="19">
        <f t="shared" si="9"/>
        <v>120609</v>
      </c>
      <c r="L36" s="19">
        <f t="shared" si="9"/>
        <v>39017</v>
      </c>
    </row>
    <row r="37" spans="1:12" outlineLevel="1" x14ac:dyDescent="0.2">
      <c r="A37" s="23">
        <v>23</v>
      </c>
      <c r="B37" s="23" t="s">
        <v>28</v>
      </c>
      <c r="C37" s="23" t="s">
        <v>16</v>
      </c>
      <c r="D37" s="32"/>
      <c r="E37" s="84">
        <v>89568</v>
      </c>
      <c r="F37" s="84">
        <v>158654</v>
      </c>
      <c r="G37" s="84">
        <v>97892</v>
      </c>
      <c r="H37" s="84">
        <v>48460</v>
      </c>
      <c r="I37" s="84">
        <v>66609</v>
      </c>
      <c r="J37" s="84">
        <v>203769</v>
      </c>
      <c r="K37" s="84">
        <v>373290</v>
      </c>
      <c r="L37" s="84">
        <v>68260</v>
      </c>
    </row>
    <row r="38" spans="1:12" outlineLevel="1" x14ac:dyDescent="0.2">
      <c r="A38" s="23">
        <v>24</v>
      </c>
      <c r="B38" s="23" t="s">
        <v>28</v>
      </c>
      <c r="C38" s="23" t="s">
        <v>17</v>
      </c>
      <c r="D38" s="32"/>
      <c r="E38" s="84">
        <v>35625</v>
      </c>
      <c r="F38" s="84">
        <v>114011</v>
      </c>
      <c r="G38" s="84">
        <v>89326</v>
      </c>
      <c r="H38" s="84">
        <v>57822</v>
      </c>
      <c r="I38" s="84">
        <v>39986</v>
      </c>
      <c r="J38" s="84">
        <v>122261</v>
      </c>
      <c r="K38" s="84">
        <v>326750</v>
      </c>
      <c r="L38" s="84">
        <v>106483</v>
      </c>
    </row>
    <row r="39" spans="1:12" outlineLevel="1" x14ac:dyDescent="0.2">
      <c r="A39" s="23">
        <v>25</v>
      </c>
      <c r="B39" s="23" t="s">
        <v>28</v>
      </c>
      <c r="C39" s="23" t="s">
        <v>18</v>
      </c>
      <c r="D39" s="32"/>
      <c r="E39" s="84">
        <v>1600</v>
      </c>
      <c r="F39" s="84">
        <v>2894</v>
      </c>
      <c r="G39" s="84">
        <v>1766</v>
      </c>
      <c r="H39" s="84">
        <v>719</v>
      </c>
      <c r="I39" s="84">
        <v>1406</v>
      </c>
      <c r="J39" s="84">
        <v>5749</v>
      </c>
      <c r="K39" s="84">
        <v>7023</v>
      </c>
      <c r="L39" s="84">
        <v>1603</v>
      </c>
    </row>
    <row r="40" spans="1:12" outlineLevel="1" x14ac:dyDescent="0.2">
      <c r="A40" s="23">
        <v>26</v>
      </c>
      <c r="B40" s="23" t="s">
        <v>28</v>
      </c>
      <c r="C40" s="23" t="s">
        <v>19</v>
      </c>
      <c r="D40" s="32"/>
      <c r="E40" s="19"/>
      <c r="F40" s="19"/>
      <c r="G40" s="19"/>
      <c r="H40" s="19"/>
      <c r="I40" s="19"/>
      <c r="J40" s="19"/>
      <c r="K40" s="19"/>
      <c r="L40" s="19"/>
    </row>
    <row r="41" spans="1:12" outlineLevel="1" x14ac:dyDescent="0.2">
      <c r="A41" s="23">
        <v>27</v>
      </c>
      <c r="B41" s="23" t="s">
        <v>28</v>
      </c>
      <c r="C41" s="23" t="s">
        <v>20</v>
      </c>
      <c r="D41" s="32"/>
      <c r="E41" s="22">
        <f t="shared" ref="E41:L41" si="10">E36/E38</f>
        <v>0.3854035087719298</v>
      </c>
      <c r="F41" s="22">
        <f t="shared" si="10"/>
        <v>0.33812526861443193</v>
      </c>
      <c r="G41" s="22">
        <f t="shared" si="10"/>
        <v>0.42860981125316255</v>
      </c>
      <c r="H41" s="22">
        <f t="shared" si="10"/>
        <v>0.49738853723496246</v>
      </c>
      <c r="I41" s="22">
        <f t="shared" ref="I41:K42" si="11">I36/I38</f>
        <v>0.32206272195268343</v>
      </c>
      <c r="J41" s="22">
        <f t="shared" si="11"/>
        <v>0.41784379319652221</v>
      </c>
      <c r="K41" s="22">
        <f t="shared" si="11"/>
        <v>0.36911706197398625</v>
      </c>
      <c r="L41" s="22">
        <f t="shared" si="10"/>
        <v>0.36641529633838266</v>
      </c>
    </row>
    <row r="42" spans="1:12" outlineLevel="1" x14ac:dyDescent="0.2">
      <c r="A42" s="23">
        <v>28</v>
      </c>
      <c r="B42" s="23" t="s">
        <v>28</v>
      </c>
      <c r="C42" s="23" t="s">
        <v>21</v>
      </c>
      <c r="D42" s="32"/>
      <c r="E42" s="19">
        <f t="shared" ref="E42:L42" si="12">E37/E39</f>
        <v>55.98</v>
      </c>
      <c r="F42" s="19">
        <f t="shared" si="12"/>
        <v>54.821700069108502</v>
      </c>
      <c r="G42" s="19">
        <f t="shared" si="12"/>
        <v>55.431483578708949</v>
      </c>
      <c r="H42" s="19">
        <f t="shared" si="12"/>
        <v>67.399165507649514</v>
      </c>
      <c r="I42" s="19">
        <f t="shared" si="11"/>
        <v>47.374822190611667</v>
      </c>
      <c r="J42" s="19">
        <f t="shared" si="11"/>
        <v>35.444251174117241</v>
      </c>
      <c r="K42" s="19">
        <f t="shared" si="11"/>
        <v>53.152498932080306</v>
      </c>
      <c r="L42" s="19">
        <f t="shared" si="12"/>
        <v>42.582657517155333</v>
      </c>
    </row>
    <row r="43" spans="1:12" outlineLevel="1" x14ac:dyDescent="0.2">
      <c r="A43" s="23">
        <v>29</v>
      </c>
      <c r="B43" s="23" t="s">
        <v>28</v>
      </c>
      <c r="C43" s="23" t="s">
        <v>22</v>
      </c>
      <c r="D43" s="32"/>
      <c r="E43" s="36">
        <f t="shared" ref="E43:L43" si="13">E38/E37</f>
        <v>0.39774249732047162</v>
      </c>
      <c r="F43" s="36">
        <f t="shared" si="13"/>
        <v>0.71861409104088136</v>
      </c>
      <c r="G43" s="36">
        <f t="shared" si="13"/>
        <v>0.91249540309729094</v>
      </c>
      <c r="H43" s="36">
        <f t="shared" si="13"/>
        <v>1.1931902600082542</v>
      </c>
      <c r="I43" s="36">
        <f>I38/I37</f>
        <v>0.60030926751640168</v>
      </c>
      <c r="J43" s="36">
        <f>J38/J37</f>
        <v>0.59999803699286935</v>
      </c>
      <c r="K43" s="36">
        <f>K38/K37</f>
        <v>0.87532481448739585</v>
      </c>
      <c r="L43" s="36">
        <f t="shared" si="13"/>
        <v>1.5599619103428068</v>
      </c>
    </row>
    <row r="44" spans="1:12" outlineLevel="1" x14ac:dyDescent="0.2">
      <c r="A44" s="23">
        <v>30</v>
      </c>
      <c r="B44" s="23" t="s">
        <v>28</v>
      </c>
      <c r="C44" s="23" t="s">
        <v>23</v>
      </c>
      <c r="D44" s="32"/>
      <c r="E44" s="36">
        <f t="shared" ref="E44:L44" si="14">E36/E37</f>
        <v>0.15329135405501965</v>
      </c>
      <c r="F44" s="36">
        <f t="shared" si="14"/>
        <v>0.24298158256331387</v>
      </c>
      <c r="G44" s="36">
        <f t="shared" si="14"/>
        <v>0.39110448249090835</v>
      </c>
      <c r="H44" s="36">
        <f t="shared" si="14"/>
        <v>0.59347915806851015</v>
      </c>
      <c r="I44" s="36">
        <f>I36/I37</f>
        <v>0.19333723670975395</v>
      </c>
      <c r="J44" s="36">
        <f>J36/J37</f>
        <v>0.2507054556875678</v>
      </c>
      <c r="K44" s="36">
        <f>K36/K37</f>
        <v>0.32309732379651207</v>
      </c>
      <c r="L44" s="36">
        <f t="shared" si="14"/>
        <v>0.57159390565484913</v>
      </c>
    </row>
    <row r="45" spans="1:12" outlineLevel="1" x14ac:dyDescent="0.2">
      <c r="A45" s="23">
        <v>31</v>
      </c>
      <c r="B45" s="23" t="s">
        <v>28</v>
      </c>
      <c r="C45" s="23" t="s">
        <v>24</v>
      </c>
      <c r="D45" s="32"/>
      <c r="E45" s="19">
        <f t="shared" ref="E45:L45" si="15">E36/E32</f>
        <v>13.967446592065107</v>
      </c>
      <c r="F45" s="19">
        <f t="shared" si="15"/>
        <v>19.984447900466563</v>
      </c>
      <c r="G45" s="19">
        <f t="shared" si="15"/>
        <v>43.755428571428574</v>
      </c>
      <c r="H45" s="19">
        <f t="shared" si="15"/>
        <v>63.208791208791212</v>
      </c>
      <c r="I45" s="19">
        <f>I36/I32</f>
        <v>17.262734584450403</v>
      </c>
      <c r="J45" s="19">
        <f>J36/J32</f>
        <v>18.726539589442815</v>
      </c>
      <c r="K45" s="19">
        <f>K36/K32</f>
        <v>25.72168905950096</v>
      </c>
      <c r="L45" s="19">
        <f t="shared" si="15"/>
        <v>47.814950980392155</v>
      </c>
    </row>
    <row r="46" spans="1:12" x14ac:dyDescent="0.2">
      <c r="K46" s="21"/>
      <c r="L46" s="21"/>
    </row>
    <row r="47" spans="1:12" x14ac:dyDescent="0.2">
      <c r="C47" s="26" t="s">
        <v>25</v>
      </c>
      <c r="K47" s="21"/>
      <c r="L47" s="21"/>
    </row>
    <row r="48" spans="1:12" x14ac:dyDescent="0.2">
      <c r="A48" s="23">
        <v>32</v>
      </c>
      <c r="B48" s="23" t="s">
        <v>28</v>
      </c>
      <c r="C48" s="23" t="s">
        <v>27</v>
      </c>
      <c r="D48" s="32"/>
      <c r="E48" s="84">
        <v>646</v>
      </c>
      <c r="F48" s="84">
        <v>1615</v>
      </c>
      <c r="G48" s="84">
        <v>850</v>
      </c>
      <c r="H48" s="84">
        <v>256</v>
      </c>
      <c r="I48" s="84">
        <v>398</v>
      </c>
      <c r="J48" s="84">
        <v>2236</v>
      </c>
      <c r="K48" s="84">
        <v>4136</v>
      </c>
      <c r="L48" s="84">
        <v>730</v>
      </c>
    </row>
    <row r="49" spans="1:12" x14ac:dyDescent="0.2">
      <c r="A49" s="23">
        <v>33</v>
      </c>
      <c r="B49" s="23" t="s">
        <v>28</v>
      </c>
      <c r="C49" s="23" t="s">
        <v>12</v>
      </c>
      <c r="D49" s="32"/>
      <c r="E49" s="84">
        <v>8546</v>
      </c>
      <c r="F49" s="84">
        <v>27726</v>
      </c>
      <c r="G49" s="84">
        <v>31404</v>
      </c>
      <c r="H49" s="84">
        <v>10408</v>
      </c>
      <c r="I49" s="84">
        <v>4636</v>
      </c>
      <c r="J49" s="84">
        <v>36571</v>
      </c>
      <c r="K49" s="84">
        <v>95425</v>
      </c>
      <c r="L49" s="84">
        <v>27279</v>
      </c>
    </row>
    <row r="50" spans="1:12" x14ac:dyDescent="0.2">
      <c r="A50" s="23">
        <v>34</v>
      </c>
      <c r="B50" s="23" t="s">
        <v>28</v>
      </c>
      <c r="C50" s="23" t="s">
        <v>13</v>
      </c>
      <c r="D50" s="32"/>
      <c r="E50" s="84">
        <v>1250</v>
      </c>
      <c r="F50" s="84">
        <v>3332</v>
      </c>
      <c r="G50" s="84">
        <v>3791</v>
      </c>
      <c r="H50" s="84">
        <v>275</v>
      </c>
      <c r="I50" s="84">
        <v>879</v>
      </c>
      <c r="J50" s="84">
        <v>1487</v>
      </c>
      <c r="K50" s="84">
        <v>8378</v>
      </c>
      <c r="L50" s="84">
        <v>4230</v>
      </c>
    </row>
    <row r="51" spans="1:12" x14ac:dyDescent="0.2">
      <c r="A51" s="23">
        <v>35</v>
      </c>
      <c r="B51" s="23" t="s">
        <v>28</v>
      </c>
      <c r="C51" s="26" t="s">
        <v>14</v>
      </c>
      <c r="D51" s="32">
        <f>SUM(E51:L51)</f>
        <v>30699</v>
      </c>
      <c r="E51" s="86">
        <v>1011</v>
      </c>
      <c r="F51" s="86">
        <v>2311</v>
      </c>
      <c r="G51" s="86">
        <v>2395</v>
      </c>
      <c r="H51" s="86">
        <v>2783</v>
      </c>
      <c r="I51" s="86">
        <v>621</v>
      </c>
      <c r="J51" s="86">
        <v>2667</v>
      </c>
      <c r="K51" s="86">
        <v>13737</v>
      </c>
      <c r="L51" s="86">
        <v>5174</v>
      </c>
    </row>
    <row r="52" spans="1:12" x14ac:dyDescent="0.2">
      <c r="A52" s="23">
        <v>36</v>
      </c>
      <c r="B52" s="23" t="s">
        <v>28</v>
      </c>
      <c r="C52" s="23" t="s">
        <v>15</v>
      </c>
      <c r="D52" s="32"/>
      <c r="E52" s="19">
        <f>SUM(E49:E51)</f>
        <v>10807</v>
      </c>
      <c r="F52" s="19">
        <f>SUM(F49:F51)</f>
        <v>33369</v>
      </c>
      <c r="G52" s="19">
        <f t="shared" ref="G52:L52" si="16">SUM(G49:G51)</f>
        <v>37590</v>
      </c>
      <c r="H52" s="19">
        <f t="shared" si="16"/>
        <v>13466</v>
      </c>
      <c r="I52" s="19">
        <f>SUM(I49:I51)</f>
        <v>6136</v>
      </c>
      <c r="J52" s="19">
        <f>SUM(J49:J51)</f>
        <v>40725</v>
      </c>
      <c r="K52" s="19">
        <f t="shared" si="16"/>
        <v>117540</v>
      </c>
      <c r="L52" s="19">
        <f t="shared" si="16"/>
        <v>36683</v>
      </c>
    </row>
    <row r="53" spans="1:12" x14ac:dyDescent="0.2">
      <c r="A53" s="23">
        <v>37</v>
      </c>
      <c r="B53" s="23" t="s">
        <v>28</v>
      </c>
      <c r="C53" s="23" t="s">
        <v>16</v>
      </c>
      <c r="D53" s="32">
        <f>SUM(E53:L53)</f>
        <v>917687</v>
      </c>
      <c r="E53" s="84">
        <v>59366</v>
      </c>
      <c r="F53" s="84">
        <v>132399</v>
      </c>
      <c r="G53" s="84">
        <v>95232</v>
      </c>
      <c r="H53" s="84">
        <v>24044</v>
      </c>
      <c r="I53" s="84">
        <v>33310</v>
      </c>
      <c r="J53" s="84">
        <v>164370</v>
      </c>
      <c r="K53" s="84">
        <v>347799</v>
      </c>
      <c r="L53" s="84">
        <v>61167</v>
      </c>
    </row>
    <row r="54" spans="1:12" ht="13.2" x14ac:dyDescent="0.25">
      <c r="A54" s="23">
        <v>38</v>
      </c>
      <c r="B54" s="23" t="s">
        <v>28</v>
      </c>
      <c r="C54" s="23" t="s">
        <v>17</v>
      </c>
      <c r="D54" s="65"/>
      <c r="E54" s="84">
        <v>23731</v>
      </c>
      <c r="F54" s="84">
        <v>95791</v>
      </c>
      <c r="G54" s="84">
        <v>86899</v>
      </c>
      <c r="H54" s="84">
        <v>28681</v>
      </c>
      <c r="I54" s="84">
        <v>19995</v>
      </c>
      <c r="J54" s="84">
        <v>98622</v>
      </c>
      <c r="K54" s="84">
        <v>304612</v>
      </c>
      <c r="L54" s="84">
        <v>95519</v>
      </c>
    </row>
    <row r="55" spans="1:12" x14ac:dyDescent="0.2">
      <c r="A55" s="23">
        <v>39</v>
      </c>
      <c r="B55" s="23" t="s">
        <v>28</v>
      </c>
      <c r="C55" s="23" t="s">
        <v>18</v>
      </c>
      <c r="D55" s="32">
        <f>SUM(E55:L55)</f>
        <v>18627</v>
      </c>
      <c r="E55" s="84">
        <v>1081</v>
      </c>
      <c r="F55" s="84">
        <v>2354</v>
      </c>
      <c r="G55" s="84">
        <v>1715</v>
      </c>
      <c r="H55" s="84">
        <v>415</v>
      </c>
      <c r="I55" s="84">
        <v>845</v>
      </c>
      <c r="J55" s="84">
        <v>4739</v>
      </c>
      <c r="K55" s="84">
        <v>6032</v>
      </c>
      <c r="L55" s="84">
        <v>1446</v>
      </c>
    </row>
    <row r="56" spans="1:12" ht="13.2" x14ac:dyDescent="0.25">
      <c r="A56" s="23">
        <v>40</v>
      </c>
      <c r="B56" s="23" t="s">
        <v>28</v>
      </c>
      <c r="C56" s="23" t="s">
        <v>19</v>
      </c>
      <c r="D56" s="65"/>
      <c r="E56" s="19"/>
      <c r="F56" s="19"/>
      <c r="G56" s="19"/>
      <c r="H56" s="19"/>
      <c r="I56" s="19"/>
      <c r="J56" s="19"/>
      <c r="K56" s="19"/>
      <c r="L56" s="19"/>
    </row>
    <row r="57" spans="1:12" ht="13.2" x14ac:dyDescent="0.25">
      <c r="A57" s="23">
        <v>41</v>
      </c>
      <c r="B57" s="23" t="s">
        <v>28</v>
      </c>
      <c r="C57" s="23" t="s">
        <v>20</v>
      </c>
      <c r="D57" s="66"/>
      <c r="E57" s="22">
        <f t="shared" ref="E57:G58" si="17">E52/E54</f>
        <v>0.45539589566389954</v>
      </c>
      <c r="F57" s="22">
        <f t="shared" si="17"/>
        <v>0.34835214164169914</v>
      </c>
      <c r="G57" s="22">
        <f t="shared" si="17"/>
        <v>0.43257114581295525</v>
      </c>
      <c r="H57" s="22">
        <f t="shared" ref="H57:L58" si="18">H52/H54</f>
        <v>0.46950943133084622</v>
      </c>
      <c r="I57" s="22">
        <f>I52/I54</f>
        <v>0.30687671917979492</v>
      </c>
      <c r="J57" s="22">
        <f>J52/J54</f>
        <v>0.41294031757620003</v>
      </c>
      <c r="K57" s="22">
        <f t="shared" si="18"/>
        <v>0.38586792378501178</v>
      </c>
      <c r="L57" s="22">
        <f t="shared" si="18"/>
        <v>0.3840387776253939</v>
      </c>
    </row>
    <row r="58" spans="1:12" x14ac:dyDescent="0.2">
      <c r="A58" s="23">
        <v>42</v>
      </c>
      <c r="B58" s="23" t="s">
        <v>28</v>
      </c>
      <c r="C58" s="23" t="s">
        <v>21</v>
      </c>
      <c r="D58" s="19">
        <f>D53/D55</f>
        <v>49.266494873033771</v>
      </c>
      <c r="E58" s="19">
        <f t="shared" si="17"/>
        <v>54.91766882516189</v>
      </c>
      <c r="F58" s="19">
        <f t="shared" si="17"/>
        <v>56.244265080713681</v>
      </c>
      <c r="G58" s="19">
        <f t="shared" si="17"/>
        <v>55.52886297376093</v>
      </c>
      <c r="H58" s="19">
        <f t="shared" si="18"/>
        <v>57.93734939759036</v>
      </c>
      <c r="I58" s="19">
        <f>I53/I55</f>
        <v>39.420118343195263</v>
      </c>
      <c r="J58" s="19">
        <f>J53/J55</f>
        <v>34.68453260181473</v>
      </c>
      <c r="K58" s="19">
        <f t="shared" si="18"/>
        <v>57.658985411140584</v>
      </c>
      <c r="L58" s="19">
        <f t="shared" si="18"/>
        <v>42.300829875518673</v>
      </c>
    </row>
    <row r="59" spans="1:12" x14ac:dyDescent="0.2">
      <c r="A59" s="23">
        <v>43</v>
      </c>
      <c r="B59" s="23" t="s">
        <v>28</v>
      </c>
      <c r="C59" s="23" t="s">
        <v>22</v>
      </c>
      <c r="D59" s="32"/>
      <c r="E59" s="36">
        <f>E54/E53</f>
        <v>0.39974059225819492</v>
      </c>
      <c r="F59" s="36">
        <f>F54/F53</f>
        <v>0.72350244337192882</v>
      </c>
      <c r="G59" s="36">
        <f>G54/G53</f>
        <v>0.91249789986559138</v>
      </c>
      <c r="H59" s="36">
        <f t="shared" ref="H59:L59" si="19">H54/H53</f>
        <v>1.1928547662618532</v>
      </c>
      <c r="I59" s="36">
        <f>I54/I53</f>
        <v>0.60027018913239272</v>
      </c>
      <c r="J59" s="36">
        <f>J54/J53</f>
        <v>0.6</v>
      </c>
      <c r="K59" s="36">
        <f t="shared" si="19"/>
        <v>0.87582770508253327</v>
      </c>
      <c r="L59" s="36">
        <f t="shared" si="19"/>
        <v>1.5616100184740138</v>
      </c>
    </row>
    <row r="60" spans="1:12" x14ac:dyDescent="0.2">
      <c r="A60" s="23">
        <v>44</v>
      </c>
      <c r="B60" s="23" t="s">
        <v>28</v>
      </c>
      <c r="C60" s="23" t="s">
        <v>23</v>
      </c>
      <c r="D60" s="32"/>
      <c r="E60" s="36">
        <f>E52/E53</f>
        <v>0.18204022504463835</v>
      </c>
      <c r="F60" s="36">
        <f>F52/F53</f>
        <v>0.25203362563161352</v>
      </c>
      <c r="G60" s="36">
        <f>G52/G53</f>
        <v>0.39472026209677419</v>
      </c>
      <c r="H60" s="36">
        <f t="shared" ref="H60:L60" si="20">H52/H53</f>
        <v>0.56005656296789219</v>
      </c>
      <c r="I60" s="36">
        <f>I52/I53</f>
        <v>0.18420894626238365</v>
      </c>
      <c r="J60" s="36">
        <f>J52/J53</f>
        <v>0.24776419054572002</v>
      </c>
      <c r="K60" s="36">
        <f t="shared" si="20"/>
        <v>0.33795381815358871</v>
      </c>
      <c r="L60" s="36">
        <f t="shared" si="20"/>
        <v>0.59971880262232902</v>
      </c>
    </row>
    <row r="61" spans="1:12" x14ac:dyDescent="0.2">
      <c r="A61" s="23">
        <v>45</v>
      </c>
      <c r="B61" s="23" t="s">
        <v>28</v>
      </c>
      <c r="C61" s="23" t="s">
        <v>24</v>
      </c>
      <c r="D61" s="32"/>
      <c r="E61" s="19">
        <f>E52/E48</f>
        <v>16.729102167182663</v>
      </c>
      <c r="F61" s="19">
        <f>F52/F48</f>
        <v>20.661919504643961</v>
      </c>
      <c r="G61" s="19">
        <f>G52/G48</f>
        <v>44.223529411764709</v>
      </c>
      <c r="H61" s="19">
        <f t="shared" ref="H61:L61" si="21">H52/H48</f>
        <v>52.6015625</v>
      </c>
      <c r="I61" s="19">
        <f>I52/I48</f>
        <v>15.417085427135678</v>
      </c>
      <c r="J61" s="19">
        <f>J52/J48</f>
        <v>18.213327370304114</v>
      </c>
      <c r="K61" s="19">
        <f t="shared" si="21"/>
        <v>28.418762088974855</v>
      </c>
      <c r="L61" s="19">
        <f t="shared" si="21"/>
        <v>50.250684931506846</v>
      </c>
    </row>
  </sheetData>
  <sheetProtection algorithmName="SHA-512" hashValue="SHxPB5KY4NvtKK9Xn0a3khBH+g1MYuDUo06mP9kI+EMFfLt1jWqxRXqqMbTENOSKCQ2iN+LkcpL5HMXhvieY0Q==" saltValue="bkVPt2H2T7L3N+qpKqKNTQ==" spinCount="100000" sheet="1" objects="1" scenarios="1"/>
  <mergeCells count="1">
    <mergeCell ref="E6:L6"/>
  </mergeCells>
  <pageMargins left="0.7" right="0.7" top="0.25" bottom="0.25" header="0.3" footer="0.3"/>
  <pageSetup orientation="portrait" verticalDpi="598" r:id="rId1"/>
  <ignoredErrors>
    <ignoredError sqref="E36 F36:I36 J36:K36 E52:K52 L36 L52" formulaRange="1"/>
    <ignoredError sqref="E13:K13 E17:K17 L13 L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115" zoomScaleNormal="115" workbookViewId="0">
      <selection activeCell="A31" sqref="A31"/>
    </sheetView>
  </sheetViews>
  <sheetFormatPr defaultColWidth="9.109375" defaultRowHeight="13.8" x14ac:dyDescent="0.25"/>
  <cols>
    <col min="1" max="1" width="3" style="2" bestFit="1" customWidth="1"/>
    <col min="2" max="2" width="1.5546875" style="2" bestFit="1" customWidth="1"/>
    <col min="3" max="3" width="26.109375" style="2" customWidth="1"/>
    <col min="4" max="4" width="11.6640625" style="3" customWidth="1"/>
    <col min="5" max="5" width="11.109375" style="71" bestFit="1" customWidth="1"/>
    <col min="6" max="6" width="11.109375" style="71" customWidth="1"/>
    <col min="7" max="7" width="11.5546875" style="71" bestFit="1" customWidth="1"/>
    <col min="8" max="8" width="11.109375" style="71" bestFit="1" customWidth="1"/>
    <col min="9" max="9" width="9.5546875" style="71" bestFit="1" customWidth="1"/>
    <col min="10" max="10" width="9.44140625" style="71" customWidth="1"/>
    <col min="11" max="11" width="10.33203125" style="71" bestFit="1" customWidth="1"/>
    <col min="12" max="12" width="10.88671875" style="2" customWidth="1"/>
    <col min="13" max="16384" width="9.109375" style="23"/>
  </cols>
  <sheetData>
    <row r="1" spans="1:22" x14ac:dyDescent="0.25">
      <c r="L1" s="72"/>
    </row>
    <row r="2" spans="1:22" x14ac:dyDescent="0.25">
      <c r="L2" s="72" t="s">
        <v>56</v>
      </c>
    </row>
    <row r="3" spans="1:22" x14ac:dyDescent="0.25">
      <c r="L3" s="72" t="s">
        <v>168</v>
      </c>
    </row>
    <row r="4" spans="1:22" x14ac:dyDescent="0.25">
      <c r="L4" s="72" t="s">
        <v>84</v>
      </c>
    </row>
    <row r="6" spans="1:22" x14ac:dyDescent="0.25">
      <c r="D6" s="8" t="s">
        <v>164</v>
      </c>
      <c r="E6" s="73"/>
      <c r="F6" s="73"/>
      <c r="G6" s="73"/>
      <c r="H6" s="73"/>
      <c r="I6" s="73"/>
      <c r="J6" s="73"/>
      <c r="K6" s="73"/>
      <c r="L6" s="8"/>
    </row>
    <row r="10" spans="1:22" x14ac:dyDescent="0.25">
      <c r="C10" s="2" t="s">
        <v>37</v>
      </c>
      <c r="E10" s="72" t="s">
        <v>51</v>
      </c>
      <c r="F10" s="72" t="s">
        <v>51</v>
      </c>
      <c r="G10" s="72" t="s">
        <v>51</v>
      </c>
      <c r="H10" s="72" t="s">
        <v>138</v>
      </c>
      <c r="I10" s="72" t="s">
        <v>53</v>
      </c>
      <c r="J10" s="72" t="s">
        <v>49</v>
      </c>
      <c r="K10" s="72" t="s">
        <v>118</v>
      </c>
      <c r="L10" s="72" t="s">
        <v>118</v>
      </c>
      <c r="N10" s="72"/>
      <c r="O10" s="72"/>
      <c r="P10" s="72"/>
      <c r="Q10" s="72"/>
      <c r="R10" s="72"/>
      <c r="S10" s="72"/>
      <c r="T10" s="72"/>
      <c r="U10" s="72"/>
      <c r="V10" s="72"/>
    </row>
    <row r="11" spans="1:22" x14ac:dyDescent="0.25">
      <c r="C11" s="2" t="s">
        <v>5</v>
      </c>
      <c r="D11" s="5"/>
      <c r="E11" s="3" t="s">
        <v>52</v>
      </c>
      <c r="F11" s="3" t="s">
        <v>52</v>
      </c>
      <c r="G11" s="3" t="s">
        <v>52</v>
      </c>
      <c r="H11" s="3" t="s">
        <v>136</v>
      </c>
      <c r="I11" s="3" t="s">
        <v>54</v>
      </c>
      <c r="J11" s="3" t="s">
        <v>50</v>
      </c>
      <c r="K11" s="3" t="s">
        <v>48</v>
      </c>
      <c r="L11" s="3" t="s">
        <v>48</v>
      </c>
      <c r="N11" s="3"/>
      <c r="O11" s="3"/>
      <c r="P11" s="3"/>
      <c r="Q11" s="3"/>
      <c r="R11" s="3"/>
      <c r="S11" s="3"/>
      <c r="T11" s="3"/>
      <c r="U11" s="3"/>
      <c r="V11" s="3"/>
    </row>
    <row r="12" spans="1:22" s="19" customFormat="1" x14ac:dyDescent="0.25">
      <c r="A12" s="15"/>
      <c r="B12" s="15"/>
      <c r="C12" s="16" t="s">
        <v>11</v>
      </c>
      <c r="D12" s="74" t="s">
        <v>30</v>
      </c>
      <c r="E12" s="16">
        <v>35</v>
      </c>
      <c r="F12" s="16">
        <v>40</v>
      </c>
      <c r="G12" s="16">
        <v>416</v>
      </c>
      <c r="H12" s="16">
        <v>415</v>
      </c>
      <c r="I12" s="16">
        <v>40</v>
      </c>
      <c r="J12" s="16">
        <v>40</v>
      </c>
      <c r="K12" s="16">
        <v>40</v>
      </c>
      <c r="L12" s="16">
        <v>42</v>
      </c>
      <c r="N12" s="16"/>
      <c r="O12" s="16"/>
      <c r="P12" s="16"/>
      <c r="Q12" s="16"/>
      <c r="R12" s="16"/>
      <c r="S12" s="16"/>
      <c r="T12" s="16"/>
      <c r="U12" s="16"/>
      <c r="V12" s="16"/>
    </row>
    <row r="13" spans="1:22" x14ac:dyDescent="0.25">
      <c r="A13" s="2">
        <v>1</v>
      </c>
      <c r="B13" s="2" t="s">
        <v>28</v>
      </c>
      <c r="C13" s="2" t="s">
        <v>122</v>
      </c>
      <c r="D13" s="71"/>
      <c r="E13" s="81">
        <v>73970</v>
      </c>
      <c r="F13" s="81">
        <v>187390</v>
      </c>
      <c r="G13" s="81">
        <v>111912</v>
      </c>
      <c r="H13" s="81">
        <v>88107</v>
      </c>
      <c r="I13" s="81">
        <v>152388</v>
      </c>
      <c r="J13" s="81">
        <v>271773</v>
      </c>
      <c r="K13" s="81">
        <v>513314</v>
      </c>
      <c r="L13" s="81">
        <v>122716</v>
      </c>
    </row>
    <row r="14" spans="1:22" x14ac:dyDescent="0.25">
      <c r="A14" s="2">
        <f>A13+1</f>
        <v>2</v>
      </c>
      <c r="B14" s="2" t="s">
        <v>28</v>
      </c>
      <c r="C14" s="2" t="s">
        <v>123</v>
      </c>
      <c r="D14" s="15"/>
      <c r="E14" s="82">
        <v>15947</v>
      </c>
      <c r="F14" s="82">
        <v>41492</v>
      </c>
      <c r="G14" s="82">
        <v>39376</v>
      </c>
      <c r="H14" s="82">
        <v>26843</v>
      </c>
      <c r="I14" s="82">
        <v>23582</v>
      </c>
      <c r="J14" s="82">
        <v>55400</v>
      </c>
      <c r="K14" s="82">
        <v>118782</v>
      </c>
      <c r="L14" s="82">
        <v>43808</v>
      </c>
    </row>
    <row r="15" spans="1:22" x14ac:dyDescent="0.25">
      <c r="A15" s="2">
        <f t="shared" ref="A15:A27" si="0">A14+1</f>
        <v>3</v>
      </c>
      <c r="B15" s="2" t="s">
        <v>28</v>
      </c>
      <c r="C15" s="2" t="s">
        <v>46</v>
      </c>
      <c r="D15" s="15"/>
      <c r="E15" s="82">
        <v>985</v>
      </c>
      <c r="F15" s="82">
        <v>1930</v>
      </c>
      <c r="G15" s="82">
        <v>875</v>
      </c>
      <c r="H15" s="82">
        <v>537</v>
      </c>
      <c r="I15" s="82">
        <v>907</v>
      </c>
      <c r="J15" s="82">
        <v>2770</v>
      </c>
      <c r="K15" s="82">
        <v>4943</v>
      </c>
      <c r="L15" s="82">
        <v>932</v>
      </c>
    </row>
    <row r="16" spans="1:22" x14ac:dyDescent="0.25"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5">
      <c r="A17" s="2">
        <f>A15+1</f>
        <v>4</v>
      </c>
      <c r="B17" s="2" t="s">
        <v>28</v>
      </c>
      <c r="C17" s="2" t="s">
        <v>45</v>
      </c>
      <c r="D17" s="15"/>
      <c r="E17" s="82">
        <v>983</v>
      </c>
      <c r="F17" s="82">
        <v>1929</v>
      </c>
      <c r="G17" s="82">
        <v>875</v>
      </c>
      <c r="H17" s="82">
        <v>455</v>
      </c>
      <c r="I17" s="82">
        <v>746</v>
      </c>
      <c r="J17" s="82">
        <v>2728</v>
      </c>
      <c r="K17" s="82">
        <v>4689</v>
      </c>
      <c r="L17" s="82">
        <v>816</v>
      </c>
    </row>
    <row r="18" spans="1:12" x14ac:dyDescent="0.25">
      <c r="A18" s="2">
        <f t="shared" si="0"/>
        <v>5</v>
      </c>
      <c r="B18" s="2" t="s">
        <v>28</v>
      </c>
      <c r="C18" s="2" t="s">
        <v>133</v>
      </c>
      <c r="D18" s="15"/>
      <c r="E18" s="82">
        <v>646</v>
      </c>
      <c r="F18" s="82">
        <v>1615</v>
      </c>
      <c r="G18" s="82">
        <v>850</v>
      </c>
      <c r="H18" s="82">
        <v>256</v>
      </c>
      <c r="I18" s="82">
        <v>398</v>
      </c>
      <c r="J18" s="82">
        <v>2236</v>
      </c>
      <c r="K18" s="82">
        <v>4136</v>
      </c>
      <c r="L18" s="82">
        <v>730</v>
      </c>
    </row>
    <row r="19" spans="1:12" s="26" customFormat="1" x14ac:dyDescent="0.25">
      <c r="A19" s="2">
        <f t="shared" si="0"/>
        <v>6</v>
      </c>
      <c r="B19" s="4" t="s">
        <v>28</v>
      </c>
      <c r="C19" s="2" t="s">
        <v>47</v>
      </c>
      <c r="D19" s="15">
        <f>SUM(E19:L19)</f>
        <v>30699</v>
      </c>
      <c r="E19" s="82">
        <v>1011</v>
      </c>
      <c r="F19" s="82">
        <v>2311</v>
      </c>
      <c r="G19" s="82">
        <v>2395</v>
      </c>
      <c r="H19" s="82">
        <v>2783</v>
      </c>
      <c r="I19" s="82">
        <v>621</v>
      </c>
      <c r="J19" s="82">
        <v>2667</v>
      </c>
      <c r="K19" s="82">
        <v>13737</v>
      </c>
      <c r="L19" s="82">
        <v>5174</v>
      </c>
    </row>
    <row r="20" spans="1:12" x14ac:dyDescent="0.25">
      <c r="A20" s="2">
        <f t="shared" si="0"/>
        <v>7</v>
      </c>
      <c r="B20" s="2" t="s">
        <v>28</v>
      </c>
      <c r="C20" s="2" t="s">
        <v>57</v>
      </c>
      <c r="D20" s="15"/>
      <c r="E20" s="82">
        <v>10806</v>
      </c>
      <c r="F20" s="82">
        <v>33369</v>
      </c>
      <c r="G20" s="82">
        <v>37589</v>
      </c>
      <c r="H20" s="82">
        <v>13466</v>
      </c>
      <c r="I20" s="82">
        <v>6136</v>
      </c>
      <c r="J20" s="82">
        <v>40724</v>
      </c>
      <c r="K20" s="82">
        <v>117539</v>
      </c>
      <c r="L20" s="82">
        <v>36683</v>
      </c>
    </row>
    <row r="21" spans="1:12" x14ac:dyDescent="0.25">
      <c r="A21" s="2">
        <f t="shared" si="0"/>
        <v>8</v>
      </c>
      <c r="B21" s="2" t="s">
        <v>28</v>
      </c>
      <c r="C21" s="2" t="s">
        <v>38</v>
      </c>
      <c r="D21" s="75"/>
      <c r="E21" s="75">
        <f t="shared" ref="E21:L21" si="1">E13/E14</f>
        <v>4.6384899981187688</v>
      </c>
      <c r="F21" s="75">
        <f>F13/F14</f>
        <v>4.5162922973103248</v>
      </c>
      <c r="G21" s="75">
        <f>G13/G14</f>
        <v>2.8421373425436816</v>
      </c>
      <c r="H21" s="75">
        <f t="shared" si="1"/>
        <v>3.2823082367842642</v>
      </c>
      <c r="I21" s="75">
        <f>I13/I14</f>
        <v>6.4620473242303449</v>
      </c>
      <c r="J21" s="75">
        <f>J13/J14</f>
        <v>4.9056498194945846</v>
      </c>
      <c r="K21" s="75">
        <f t="shared" si="1"/>
        <v>4.3214796854742303</v>
      </c>
      <c r="L21" s="75">
        <f t="shared" si="1"/>
        <v>2.8012235208181155</v>
      </c>
    </row>
    <row r="22" spans="1:12" x14ac:dyDescent="0.25">
      <c r="A22" s="2">
        <f t="shared" si="0"/>
        <v>9</v>
      </c>
      <c r="B22" s="2" t="s">
        <v>28</v>
      </c>
      <c r="C22" s="2" t="s">
        <v>39</v>
      </c>
      <c r="D22" s="15"/>
      <c r="E22" s="15">
        <f t="shared" ref="E22:L22" si="2">E14/E17</f>
        <v>16.222787385554426</v>
      </c>
      <c r="F22" s="15">
        <f>F14/F17</f>
        <v>21.509590461378952</v>
      </c>
      <c r="G22" s="15">
        <f>G14/G17</f>
        <v>45.00114285714286</v>
      </c>
      <c r="H22" s="15">
        <f t="shared" si="2"/>
        <v>58.995604395604396</v>
      </c>
      <c r="I22" s="15">
        <f>I14/I17</f>
        <v>31.611260053619304</v>
      </c>
      <c r="J22" s="15">
        <f>J14/J17</f>
        <v>20.30791788856305</v>
      </c>
      <c r="K22" s="15">
        <f t="shared" si="2"/>
        <v>25.332053742802302</v>
      </c>
      <c r="L22" s="15">
        <f t="shared" si="2"/>
        <v>53.686274509803923</v>
      </c>
    </row>
    <row r="23" spans="1:12" x14ac:dyDescent="0.25">
      <c r="A23" s="2">
        <f t="shared" si="0"/>
        <v>10</v>
      </c>
      <c r="B23" s="2" t="s">
        <v>28</v>
      </c>
      <c r="C23" s="2" t="s">
        <v>40</v>
      </c>
      <c r="D23" s="75"/>
      <c r="E23" s="75">
        <f t="shared" ref="E23:L23" si="3">E13/E17</f>
        <v>75.249237029501529</v>
      </c>
      <c r="F23" s="75">
        <f>F13/F17</f>
        <v>97.143597719025408</v>
      </c>
      <c r="G23" s="75">
        <f>G13/G17</f>
        <v>127.89942857142857</v>
      </c>
      <c r="H23" s="75">
        <f t="shared" si="3"/>
        <v>193.64175824175825</v>
      </c>
      <c r="I23" s="75">
        <f>I13/I17</f>
        <v>204.27345844504021</v>
      </c>
      <c r="J23" s="75">
        <f>J13/J17</f>
        <v>99.623533724340177</v>
      </c>
      <c r="K23" s="75">
        <f t="shared" si="3"/>
        <v>109.47195564086159</v>
      </c>
      <c r="L23" s="75">
        <f t="shared" si="3"/>
        <v>150.38725490196077</v>
      </c>
    </row>
    <row r="24" spans="1:12" x14ac:dyDescent="0.25">
      <c r="A24" s="2">
        <f t="shared" si="0"/>
        <v>11</v>
      </c>
      <c r="B24" s="2" t="s">
        <v>28</v>
      </c>
      <c r="C24" s="2" t="s">
        <v>41</v>
      </c>
      <c r="D24" s="72"/>
      <c r="E24" s="71">
        <f t="shared" ref="E24:L24" si="4">E13*E18/E17</f>
        <v>48611.007121057984</v>
      </c>
      <c r="F24" s="71">
        <f>F13*F18/F17</f>
        <v>156886.91031622601</v>
      </c>
      <c r="G24" s="71">
        <f>G13*G18/G17</f>
        <v>108714.51428571429</v>
      </c>
      <c r="H24" s="71">
        <f t="shared" si="4"/>
        <v>49572.290109890113</v>
      </c>
      <c r="I24" s="71">
        <f>I13*I18/I17</f>
        <v>81300.836461126004</v>
      </c>
      <c r="J24" s="71">
        <f>J13*J18/J17</f>
        <v>222758.22140762463</v>
      </c>
      <c r="K24" s="71">
        <f t="shared" si="4"/>
        <v>452776.00853060355</v>
      </c>
      <c r="L24" s="71">
        <f t="shared" si="4"/>
        <v>109782.69607843137</v>
      </c>
    </row>
    <row r="25" spans="1:12" x14ac:dyDescent="0.25">
      <c r="A25" s="2">
        <f t="shared" si="0"/>
        <v>12</v>
      </c>
      <c r="B25" s="2" t="s">
        <v>28</v>
      </c>
      <c r="C25" s="2" t="s">
        <v>42</v>
      </c>
      <c r="D25" s="55"/>
      <c r="E25" s="75">
        <f t="shared" ref="E25:L25" si="5">E24/E20</f>
        <v>4.4985200000979075</v>
      </c>
      <c r="F25" s="75">
        <f>F24/F20</f>
        <v>4.7015766225007045</v>
      </c>
      <c r="G25" s="75">
        <f>G24/G20</f>
        <v>2.8921895843388836</v>
      </c>
      <c r="H25" s="75">
        <f t="shared" si="5"/>
        <v>3.6812928939469858</v>
      </c>
      <c r="I25" s="75">
        <f>I24/I20</f>
        <v>13.249810375020536</v>
      </c>
      <c r="J25" s="75">
        <f>J24/J20</f>
        <v>5.4699494501430266</v>
      </c>
      <c r="K25" s="75">
        <f t="shared" si="5"/>
        <v>3.8521342578259432</v>
      </c>
      <c r="L25" s="75">
        <f t="shared" si="5"/>
        <v>2.9927403995973987</v>
      </c>
    </row>
    <row r="26" spans="1:12" x14ac:dyDescent="0.25">
      <c r="A26" s="2">
        <f t="shared" si="0"/>
        <v>13</v>
      </c>
      <c r="B26" s="2" t="s">
        <v>28</v>
      </c>
      <c r="C26" s="2" t="s">
        <v>43</v>
      </c>
      <c r="D26" s="14">
        <f>SUM(E26:L26)</f>
        <v>1</v>
      </c>
      <c r="E26" s="76">
        <f t="shared" ref="E26:L26" si="6">E19/$D19</f>
        <v>3.2932668816573828E-2</v>
      </c>
      <c r="F26" s="76">
        <f>F19/$D19</f>
        <v>7.5279325059448191E-2</v>
      </c>
      <c r="G26" s="76">
        <f>G19/$D19</f>
        <v>7.8015570539756995E-2</v>
      </c>
      <c r="H26" s="76">
        <f t="shared" si="6"/>
        <v>9.0654418710707188E-2</v>
      </c>
      <c r="I26" s="76">
        <f>I19/$D19</f>
        <v>2.0228671943711522E-2</v>
      </c>
      <c r="J26" s="76">
        <f>J19/$D19</f>
        <v>8.6875793999804551E-2</v>
      </c>
      <c r="K26" s="76">
        <f t="shared" si="6"/>
        <v>0.44747385908335774</v>
      </c>
      <c r="L26" s="76">
        <f t="shared" si="6"/>
        <v>0.16853969184663994</v>
      </c>
    </row>
    <row r="27" spans="1:12" x14ac:dyDescent="0.25">
      <c r="A27" s="2">
        <f t="shared" si="0"/>
        <v>14</v>
      </c>
      <c r="B27" s="2" t="s">
        <v>28</v>
      </c>
      <c r="C27" s="2" t="s">
        <v>44</v>
      </c>
      <c r="D27" s="77">
        <f>SUM(E27:L27)</f>
        <v>4.0327982679154148</v>
      </c>
      <c r="E27" s="55">
        <f t="shared" ref="E27:L27" si="7">E25*E26</f>
        <v>0.14814826932795805</v>
      </c>
      <c r="F27" s="55">
        <f>F25*F26</f>
        <v>0.35393151485713309</v>
      </c>
      <c r="G27" s="55">
        <f>G25*G26</f>
        <v>0.22563582053134065</v>
      </c>
      <c r="H27" s="55">
        <f t="shared" si="7"/>
        <v>0.33372546740462106</v>
      </c>
      <c r="I27" s="55">
        <f>I25*I26</f>
        <v>0.26802606739267576</v>
      </c>
      <c r="J27" s="55">
        <f>J25*J26</f>
        <v>0.47520620161996974</v>
      </c>
      <c r="K27" s="55">
        <f t="shared" si="7"/>
        <v>1.7237293820565809</v>
      </c>
      <c r="L27" s="55">
        <f t="shared" si="7"/>
        <v>0.5043955447251357</v>
      </c>
    </row>
    <row r="28" spans="1:12" x14ac:dyDescent="0.25">
      <c r="D28" s="53"/>
      <c r="E28" s="55"/>
      <c r="F28" s="55"/>
      <c r="G28" s="55"/>
      <c r="H28" s="55"/>
      <c r="I28" s="55"/>
      <c r="J28" s="55"/>
      <c r="K28" s="55"/>
      <c r="L28" s="55"/>
    </row>
    <row r="29" spans="1:12" x14ac:dyDescent="0.25">
      <c r="C29" s="2" t="s">
        <v>124</v>
      </c>
      <c r="D29" s="53"/>
      <c r="E29" s="14">
        <f t="shared" ref="E29:L29" si="8">E15/E17-1</f>
        <v>2.0345879959309254E-3</v>
      </c>
      <c r="F29" s="14">
        <f>F15/F17-1</f>
        <v>5.1840331778119086E-4</v>
      </c>
      <c r="G29" s="14">
        <f t="shared" si="8"/>
        <v>0</v>
      </c>
      <c r="H29" s="14">
        <f t="shared" si="8"/>
        <v>0.18021978021978025</v>
      </c>
      <c r="I29" s="14">
        <f t="shared" si="8"/>
        <v>0.21581769436997322</v>
      </c>
      <c r="J29" s="14">
        <f t="shared" si="8"/>
        <v>1.5395894428152479E-2</v>
      </c>
      <c r="K29" s="14">
        <f t="shared" si="8"/>
        <v>5.4169332480273003E-2</v>
      </c>
      <c r="L29" s="14">
        <f t="shared" si="8"/>
        <v>0.14215686274509798</v>
      </c>
    </row>
    <row r="33" spans="5:12" x14ac:dyDescent="0.25">
      <c r="E33" s="15"/>
      <c r="F33" s="15"/>
      <c r="G33" s="15"/>
      <c r="H33" s="15"/>
      <c r="I33" s="15"/>
      <c r="J33" s="15"/>
      <c r="K33" s="15"/>
      <c r="L33" s="15"/>
    </row>
    <row r="34" spans="5:12" x14ac:dyDescent="0.25">
      <c r="L34" s="71"/>
    </row>
  </sheetData>
  <sheetProtection algorithmName="SHA-512" hashValue="cyGKM4l5QFCdzBXxLw4Uga9ofJdhHrKUkSH283f+2Uz7MvRbOJYSIbdIXe3kZ9NKkuuXhYjL7XrP2sXdbUSv0Q==" saltValue="GYiPHwaHFEFnkNGn4oGgoA==" spinCount="100000" sheet="1" objects="1" scenarios="1"/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opLeftCell="A16" workbookViewId="0">
      <selection activeCell="A25" sqref="A25"/>
    </sheetView>
  </sheetViews>
  <sheetFormatPr defaultColWidth="9.109375" defaultRowHeight="13.8" x14ac:dyDescent="0.25"/>
  <cols>
    <col min="1" max="1" width="3.33203125" style="2" customWidth="1"/>
    <col min="2" max="2" width="9.109375" style="2"/>
    <col min="3" max="3" width="17.88671875" style="2" customWidth="1"/>
    <col min="4" max="4" width="5.6640625" style="2" bestFit="1" customWidth="1"/>
    <col min="5" max="5" width="9.109375" style="2"/>
    <col min="6" max="6" width="11.44140625" style="2" bestFit="1" customWidth="1"/>
    <col min="7" max="7" width="10.109375" style="2" bestFit="1" customWidth="1"/>
    <col min="8" max="8" width="9.33203125" style="14" bestFit="1" customWidth="1"/>
    <col min="9" max="9" width="9.44140625" style="14" bestFit="1" customWidth="1"/>
    <col min="10" max="10" width="3.5546875" style="2" customWidth="1"/>
    <col min="11" max="14" width="9.109375" style="2"/>
    <col min="15" max="15" width="41.109375" style="2" bestFit="1" customWidth="1"/>
    <col min="16" max="16" width="9.109375" style="2"/>
    <col min="17" max="17" width="10.109375" style="2" bestFit="1" customWidth="1"/>
    <col min="18" max="18" width="9.109375" style="2"/>
    <col min="19" max="19" width="12.33203125" style="2" bestFit="1" customWidth="1"/>
    <col min="20" max="20" width="10.6640625" style="2" bestFit="1" customWidth="1"/>
    <col min="21" max="16384" width="9.109375" style="2"/>
  </cols>
  <sheetData>
    <row r="1" spans="1:20" x14ac:dyDescent="0.25">
      <c r="J1" s="3"/>
      <c r="Q1" s="3" t="s">
        <v>119</v>
      </c>
      <c r="R1" s="14"/>
      <c r="S1" s="17" t="s">
        <v>114</v>
      </c>
    </row>
    <row r="2" spans="1:20" ht="14.4" x14ac:dyDescent="0.3">
      <c r="J2" s="3" t="s">
        <v>121</v>
      </c>
      <c r="O2" s="4" t="s">
        <v>37</v>
      </c>
      <c r="P2" s="5" t="s">
        <v>116</v>
      </c>
      <c r="Q2" s="4" t="s">
        <v>14</v>
      </c>
      <c r="R2" s="18" t="s">
        <v>117</v>
      </c>
      <c r="S2" s="18" t="s">
        <v>117</v>
      </c>
      <c r="T2" s="78"/>
    </row>
    <row r="3" spans="1:20" ht="14.4" x14ac:dyDescent="0.3">
      <c r="J3" s="3" t="s">
        <v>137</v>
      </c>
      <c r="O3" t="s">
        <v>118</v>
      </c>
      <c r="P3">
        <v>40</v>
      </c>
      <c r="Q3" s="79">
        <v>9590</v>
      </c>
      <c r="R3" s="92">
        <f t="shared" ref="R3:R15" si="0">Q3/$Q$16</f>
        <v>0.37264425879152907</v>
      </c>
      <c r="S3" s="94">
        <f>R3</f>
        <v>0.37264425879152907</v>
      </c>
      <c r="T3" s="79"/>
    </row>
    <row r="4" spans="1:20" ht="14.4" x14ac:dyDescent="0.3">
      <c r="O4" t="s">
        <v>118</v>
      </c>
      <c r="P4">
        <v>42</v>
      </c>
      <c r="Q4" s="79">
        <v>5731</v>
      </c>
      <c r="R4" s="92">
        <f t="shared" si="0"/>
        <v>0.22269283077520885</v>
      </c>
      <c r="S4" s="94">
        <f>(R4+S3)</f>
        <v>0.59533708956673792</v>
      </c>
      <c r="T4" s="79"/>
    </row>
    <row r="5" spans="1:20" ht="14.4" x14ac:dyDescent="0.3">
      <c r="O5" t="s">
        <v>135</v>
      </c>
      <c r="P5">
        <v>40</v>
      </c>
      <c r="Q5" s="79">
        <v>3512</v>
      </c>
      <c r="R5" s="92">
        <f t="shared" si="0"/>
        <v>0.13646784534680395</v>
      </c>
      <c r="S5" s="94">
        <f t="shared" ref="S5:S15" si="1">(R5+S4)</f>
        <v>0.73180493491354182</v>
      </c>
      <c r="T5" s="79"/>
    </row>
    <row r="6" spans="1:20" ht="14.4" x14ac:dyDescent="0.3">
      <c r="O6" t="s">
        <v>129</v>
      </c>
      <c r="P6">
        <v>416</v>
      </c>
      <c r="Q6" s="79">
        <v>2780</v>
      </c>
      <c r="R6" s="92">
        <f t="shared" si="0"/>
        <v>0.10802409170390519</v>
      </c>
      <c r="S6" s="94">
        <f t="shared" si="1"/>
        <v>0.83982902661744696</v>
      </c>
      <c r="T6" s="79"/>
    </row>
    <row r="7" spans="1:20" ht="14.4" x14ac:dyDescent="0.3">
      <c r="A7" s="114" t="s">
        <v>159</v>
      </c>
      <c r="B7" s="114"/>
      <c r="C7" s="114"/>
      <c r="D7" s="114"/>
      <c r="E7" s="114"/>
      <c r="F7" s="114"/>
      <c r="G7" s="114"/>
      <c r="H7" s="114"/>
      <c r="I7" s="114"/>
      <c r="J7" s="114"/>
      <c r="O7" t="s">
        <v>129</v>
      </c>
      <c r="P7">
        <v>40</v>
      </c>
      <c r="Q7" s="79">
        <v>1685</v>
      </c>
      <c r="R7" s="92">
        <f t="shared" si="0"/>
        <v>6.5475034000388579E-2</v>
      </c>
      <c r="S7" s="94">
        <f t="shared" si="1"/>
        <v>0.90530406061783553</v>
      </c>
      <c r="T7"/>
    </row>
    <row r="8" spans="1:20" ht="14.4" x14ac:dyDescent="0.3">
      <c r="C8" s="15"/>
      <c r="D8" s="15"/>
      <c r="O8" t="s">
        <v>130</v>
      </c>
      <c r="P8">
        <v>40</v>
      </c>
      <c r="Q8">
        <v>765</v>
      </c>
      <c r="R8" s="92">
        <f t="shared" si="0"/>
        <v>2.9726054012045852E-2</v>
      </c>
      <c r="S8" s="94">
        <f t="shared" si="1"/>
        <v>0.93503011462988139</v>
      </c>
      <c r="T8"/>
    </row>
    <row r="9" spans="1:20" ht="14.4" x14ac:dyDescent="0.3">
      <c r="F9" s="3" t="s">
        <v>119</v>
      </c>
      <c r="G9" s="14"/>
      <c r="H9" s="17" t="s">
        <v>114</v>
      </c>
      <c r="I9" s="99"/>
      <c r="O9" t="s">
        <v>129</v>
      </c>
      <c r="P9">
        <v>35</v>
      </c>
      <c r="Q9">
        <v>733</v>
      </c>
      <c r="R9" s="92">
        <f t="shared" si="0"/>
        <v>2.8482611229842626E-2</v>
      </c>
      <c r="S9" s="94">
        <f t="shared" si="1"/>
        <v>0.96351272585972403</v>
      </c>
      <c r="T9"/>
    </row>
    <row r="10" spans="1:20" ht="14.4" x14ac:dyDescent="0.3">
      <c r="C10" s="4" t="s">
        <v>37</v>
      </c>
      <c r="D10" s="101" t="s">
        <v>115</v>
      </c>
      <c r="E10" s="5" t="s">
        <v>116</v>
      </c>
      <c r="F10" s="5" t="s">
        <v>14</v>
      </c>
      <c r="G10" s="18" t="s">
        <v>117</v>
      </c>
      <c r="H10" s="18" t="s">
        <v>117</v>
      </c>
      <c r="I10" s="100"/>
      <c r="O10" t="s">
        <v>134</v>
      </c>
      <c r="P10">
        <v>35</v>
      </c>
      <c r="Q10">
        <v>274</v>
      </c>
      <c r="R10" s="92">
        <f t="shared" si="0"/>
        <v>1.0646978822615116E-2</v>
      </c>
      <c r="S10" s="94">
        <f t="shared" si="1"/>
        <v>0.97415970468233914</v>
      </c>
      <c r="T10" s="79"/>
    </row>
    <row r="11" spans="1:20" ht="15" thickBot="1" x14ac:dyDescent="0.35">
      <c r="C11" t="s">
        <v>157</v>
      </c>
      <c r="D11" t="s">
        <v>48</v>
      </c>
      <c r="E11">
        <v>40</v>
      </c>
      <c r="F11" s="109">
        <v>13736.535499999994</v>
      </c>
      <c r="G11" s="92">
        <f t="shared" ref="G11:G19" si="2">F11/$Q$16</f>
        <v>0.53376862249854262</v>
      </c>
      <c r="H11" s="94">
        <f>G11</f>
        <v>0.53376862249854262</v>
      </c>
      <c r="I11" s="48"/>
      <c r="O11" s="95" t="s">
        <v>131</v>
      </c>
      <c r="P11" s="95">
        <v>415</v>
      </c>
      <c r="Q11" s="95">
        <v>256</v>
      </c>
      <c r="R11" s="96">
        <f t="shared" si="0"/>
        <v>9.9475422576258011E-3</v>
      </c>
      <c r="S11" s="97">
        <f t="shared" si="1"/>
        <v>0.98410724693996499</v>
      </c>
      <c r="T11"/>
    </row>
    <row r="12" spans="1:20" ht="14.4" x14ac:dyDescent="0.3">
      <c r="C12" t="s">
        <v>157</v>
      </c>
      <c r="D12" t="s">
        <v>48</v>
      </c>
      <c r="E12">
        <v>42</v>
      </c>
      <c r="F12" s="109">
        <v>5173.9230000000007</v>
      </c>
      <c r="G12" s="92">
        <f t="shared" si="2"/>
        <v>0.20104616281328933</v>
      </c>
      <c r="H12" s="94">
        <f>(G12+H11)</f>
        <v>0.73481478531183198</v>
      </c>
      <c r="I12" s="48"/>
      <c r="O12" t="s">
        <v>135</v>
      </c>
      <c r="P12">
        <v>33</v>
      </c>
      <c r="Q12">
        <v>209</v>
      </c>
      <c r="R12" s="92">
        <f t="shared" si="0"/>
        <v>8.1212356712648138E-3</v>
      </c>
      <c r="S12" s="94">
        <f t="shared" si="1"/>
        <v>0.99222848261122976</v>
      </c>
      <c r="T12"/>
    </row>
    <row r="13" spans="1:20" ht="14.4" x14ac:dyDescent="0.3">
      <c r="C13" t="s">
        <v>131</v>
      </c>
      <c r="D13" t="s">
        <v>136</v>
      </c>
      <c r="E13">
        <v>415</v>
      </c>
      <c r="F13" s="109">
        <v>2782.6959999999999</v>
      </c>
      <c r="G13" s="92">
        <f t="shared" si="2"/>
        <v>0.10812885175830581</v>
      </c>
      <c r="H13" s="94">
        <f t="shared" ref="H13:H19" si="3">(G13+H12)</f>
        <v>0.84294363707013775</v>
      </c>
      <c r="I13" s="48"/>
      <c r="O13" t="s">
        <v>130</v>
      </c>
      <c r="P13">
        <v>33</v>
      </c>
      <c r="Q13">
        <v>196</v>
      </c>
      <c r="R13" s="92">
        <f t="shared" si="0"/>
        <v>7.6160870409947541E-3</v>
      </c>
      <c r="S13" s="94">
        <f t="shared" si="1"/>
        <v>0.99984456965222446</v>
      </c>
      <c r="T13"/>
    </row>
    <row r="14" spans="1:20" ht="14.4" x14ac:dyDescent="0.3">
      <c r="C14" t="s">
        <v>135</v>
      </c>
      <c r="D14" t="s">
        <v>50</v>
      </c>
      <c r="E14">
        <v>40</v>
      </c>
      <c r="F14" s="109">
        <v>2666.8675000000007</v>
      </c>
      <c r="G14" s="92">
        <f t="shared" si="2"/>
        <v>0.10362803574898002</v>
      </c>
      <c r="H14" s="94">
        <f t="shared" si="3"/>
        <v>0.9465716728191178</v>
      </c>
      <c r="I14" s="48"/>
      <c r="O14" t="s">
        <v>134</v>
      </c>
      <c r="P14">
        <v>416</v>
      </c>
      <c r="Q14">
        <v>3</v>
      </c>
      <c r="R14" s="92">
        <f t="shared" si="0"/>
        <v>1.1657276083155236E-4</v>
      </c>
      <c r="S14" s="94">
        <f t="shared" si="1"/>
        <v>0.999961142413056</v>
      </c>
      <c r="T14"/>
    </row>
    <row r="15" spans="1:20" ht="15" thickBot="1" x14ac:dyDescent="0.35">
      <c r="B15" s="67"/>
      <c r="C15" t="s">
        <v>129</v>
      </c>
      <c r="D15" t="s">
        <v>52</v>
      </c>
      <c r="E15">
        <v>416</v>
      </c>
      <c r="F15" s="109">
        <v>2394.8020000000001</v>
      </c>
      <c r="G15" s="92">
        <f t="shared" si="2"/>
        <v>9.3056226928307756E-2</v>
      </c>
      <c r="H15" s="94">
        <f t="shared" si="3"/>
        <v>1.0396278997474255</v>
      </c>
      <c r="I15" s="48"/>
      <c r="O15" s="91" t="s">
        <v>134</v>
      </c>
      <c r="P15" s="91">
        <v>40</v>
      </c>
      <c r="Q15" s="91">
        <v>1</v>
      </c>
      <c r="R15" s="93">
        <f t="shared" si="0"/>
        <v>3.8857586943850786E-5</v>
      </c>
      <c r="S15" s="98">
        <f t="shared" si="1"/>
        <v>0.99999999999999989</v>
      </c>
      <c r="T15"/>
    </row>
    <row r="16" spans="1:20" ht="15" thickTop="1" x14ac:dyDescent="0.3">
      <c r="B16" s="6"/>
      <c r="C16" t="s">
        <v>129</v>
      </c>
      <c r="D16" t="s">
        <v>52</v>
      </c>
      <c r="E16">
        <v>40</v>
      </c>
      <c r="F16" s="109">
        <v>2310.7875000000004</v>
      </c>
      <c r="G16" s="92">
        <f t="shared" si="2"/>
        <v>8.9791626190013615E-2</v>
      </c>
      <c r="H16" s="94">
        <f t="shared" si="3"/>
        <v>1.1294195259374391</v>
      </c>
      <c r="I16" s="48"/>
      <c r="O16" s="1" t="s">
        <v>148</v>
      </c>
      <c r="P16" s="1"/>
      <c r="Q16" s="90">
        <f>SUM(Q3:Q15)</f>
        <v>25735</v>
      </c>
      <c r="R16" s="1"/>
      <c r="T16"/>
    </row>
    <row r="17" spans="3:20" ht="14.4" x14ac:dyDescent="0.3">
      <c r="C17" t="s">
        <v>129</v>
      </c>
      <c r="D17" t="s">
        <v>52</v>
      </c>
      <c r="E17">
        <v>35</v>
      </c>
      <c r="F17" s="109">
        <v>1010.7094999999998</v>
      </c>
      <c r="G17" s="92">
        <f t="shared" si="2"/>
        <v>3.927373227122595E-2</v>
      </c>
      <c r="H17" s="94">
        <f t="shared" si="3"/>
        <v>1.1686932582086651</v>
      </c>
      <c r="I17" s="48"/>
      <c r="T17"/>
    </row>
    <row r="18" spans="3:20" ht="15" thickBot="1" x14ac:dyDescent="0.35">
      <c r="C18" s="95" t="s">
        <v>130</v>
      </c>
      <c r="D18" s="95" t="s">
        <v>54</v>
      </c>
      <c r="E18" s="95">
        <v>40</v>
      </c>
      <c r="F18" s="110">
        <v>621.09000000000037</v>
      </c>
      <c r="G18" s="96">
        <f t="shared" si="2"/>
        <v>2.4134058674956299E-2</v>
      </c>
      <c r="H18" s="97">
        <f t="shared" si="3"/>
        <v>1.1928273168836214</v>
      </c>
      <c r="I18" s="48"/>
      <c r="T18"/>
    </row>
    <row r="19" spans="3:20" ht="15" thickBot="1" x14ac:dyDescent="0.35">
      <c r="C19" s="91" t="s">
        <v>130</v>
      </c>
      <c r="D19" s="91" t="s">
        <v>54</v>
      </c>
      <c r="E19" s="91">
        <v>33</v>
      </c>
      <c r="F19" s="111">
        <v>125.70249999999997</v>
      </c>
      <c r="G19" s="93">
        <f t="shared" si="2"/>
        <v>4.8844958228094022E-3</v>
      </c>
      <c r="H19" s="98">
        <f t="shared" si="3"/>
        <v>1.1977118127064308</v>
      </c>
      <c r="I19" s="87"/>
      <c r="T19"/>
    </row>
    <row r="20" spans="3:20" ht="15" thickTop="1" x14ac:dyDescent="0.3">
      <c r="C20" s="1" t="s">
        <v>148</v>
      </c>
      <c r="D20" s="1"/>
      <c r="E20" s="1"/>
      <c r="F20" s="90">
        <f>SUM(F11:F19)</f>
        <v>30823.113499999992</v>
      </c>
      <c r="G20" s="1"/>
      <c r="H20" s="2"/>
      <c r="I20" s="48"/>
      <c r="T20"/>
    </row>
    <row r="21" spans="3:20" ht="14.4" x14ac:dyDescent="0.3">
      <c r="C21" s="1"/>
      <c r="D21" s="1"/>
      <c r="E21" s="1"/>
      <c r="F21" s="1"/>
      <c r="G21" s="1"/>
      <c r="H21" s="48"/>
      <c r="I21" s="48"/>
      <c r="T21"/>
    </row>
    <row r="22" spans="3:20" x14ac:dyDescent="0.25">
      <c r="C22" s="1" t="s">
        <v>158</v>
      </c>
      <c r="D22" s="1"/>
      <c r="E22" s="1"/>
      <c r="F22" s="1"/>
      <c r="G22" s="1"/>
      <c r="H22" s="48"/>
      <c r="I22" s="48"/>
    </row>
    <row r="23" spans="3:20" x14ac:dyDescent="0.25">
      <c r="C23" s="1"/>
      <c r="D23" s="1"/>
      <c r="E23" s="1"/>
      <c r="F23" s="1"/>
      <c r="G23" s="1"/>
      <c r="H23" s="48"/>
      <c r="I23" s="48"/>
    </row>
    <row r="24" spans="3:20" x14ac:dyDescent="0.25">
      <c r="C24" s="1"/>
      <c r="D24" s="1"/>
      <c r="E24" s="80"/>
      <c r="F24" s="80"/>
      <c r="G24" s="1"/>
      <c r="H24" s="48"/>
      <c r="I24" s="48"/>
      <c r="J24" s="1"/>
    </row>
    <row r="25" spans="3:20" x14ac:dyDescent="0.25">
      <c r="C25" s="1"/>
      <c r="D25" s="1"/>
      <c r="E25" s="9"/>
      <c r="F25" s="9"/>
      <c r="G25" s="1"/>
      <c r="H25" s="48"/>
      <c r="I25" s="48"/>
      <c r="J25" s="1"/>
    </row>
    <row r="26" spans="3:20" x14ac:dyDescent="0.25">
      <c r="C26" s="1"/>
      <c r="D26" s="1"/>
      <c r="E26" s="1"/>
      <c r="F26" s="1"/>
      <c r="G26" s="1"/>
      <c r="H26" s="48"/>
      <c r="I26" s="48"/>
      <c r="J26" s="1"/>
    </row>
    <row r="27" spans="3:20" x14ac:dyDescent="0.25">
      <c r="C27" s="1"/>
      <c r="D27" s="1"/>
      <c r="E27" s="1"/>
      <c r="F27" s="1"/>
      <c r="G27" s="1"/>
      <c r="H27" s="48"/>
      <c r="I27" s="48"/>
      <c r="J27" s="1"/>
    </row>
    <row r="28" spans="3:20" x14ac:dyDescent="0.25">
      <c r="C28" s="1"/>
      <c r="D28" s="1"/>
      <c r="E28" s="1"/>
      <c r="F28" s="1"/>
      <c r="G28" s="1"/>
      <c r="H28" s="48"/>
      <c r="I28" s="48"/>
      <c r="J28" s="1"/>
    </row>
    <row r="29" spans="3:20" x14ac:dyDescent="0.25">
      <c r="C29" s="1"/>
      <c r="D29" s="1"/>
      <c r="E29" s="1"/>
      <c r="F29" s="1"/>
      <c r="G29" s="1"/>
      <c r="H29" s="48"/>
      <c r="I29" s="48"/>
      <c r="J29" s="1"/>
    </row>
    <row r="30" spans="3:20" x14ac:dyDescent="0.25">
      <c r="C30" s="1"/>
      <c r="D30" s="1"/>
      <c r="E30" s="1"/>
      <c r="F30" s="1"/>
      <c r="G30" s="1"/>
      <c r="H30" s="48"/>
      <c r="I30" s="48"/>
      <c r="J30" s="1"/>
    </row>
    <row r="31" spans="3:20" x14ac:dyDescent="0.25">
      <c r="C31" s="1"/>
      <c r="D31" s="1"/>
      <c r="E31" s="1"/>
      <c r="F31" s="1"/>
      <c r="G31" s="1"/>
      <c r="H31" s="48"/>
      <c r="I31" s="48"/>
      <c r="J31" s="1"/>
    </row>
    <row r="32" spans="3:20" x14ac:dyDescent="0.25">
      <c r="C32" s="1"/>
      <c r="D32" s="1"/>
      <c r="E32" s="1"/>
      <c r="F32" s="1"/>
      <c r="G32" s="1"/>
      <c r="H32" s="48"/>
      <c r="I32" s="48"/>
      <c r="J32" s="1"/>
    </row>
    <row r="33" spans="3:10" x14ac:dyDescent="0.25">
      <c r="C33" s="1"/>
      <c r="D33" s="1"/>
      <c r="E33" s="1"/>
      <c r="F33" s="1"/>
      <c r="G33" s="1"/>
      <c r="H33" s="48"/>
      <c r="I33" s="48"/>
      <c r="J33" s="1"/>
    </row>
    <row r="34" spans="3:10" x14ac:dyDescent="0.25">
      <c r="C34" s="1"/>
      <c r="D34" s="1"/>
      <c r="E34" s="1"/>
      <c r="F34" s="1"/>
      <c r="G34" s="1"/>
      <c r="H34" s="48"/>
      <c r="I34" s="48"/>
      <c r="J34" s="1"/>
    </row>
    <row r="35" spans="3:10" x14ac:dyDescent="0.25">
      <c r="C35" s="1"/>
      <c r="D35" s="1"/>
      <c r="E35" s="1"/>
      <c r="F35" s="1"/>
      <c r="G35" s="1"/>
      <c r="H35" s="48"/>
      <c r="I35" s="48"/>
      <c r="J35" s="1"/>
    </row>
    <row r="36" spans="3:10" x14ac:dyDescent="0.25">
      <c r="C36" s="1"/>
      <c r="D36" s="1"/>
      <c r="E36" s="1"/>
      <c r="F36" s="1"/>
      <c r="G36" s="1"/>
      <c r="H36" s="48"/>
      <c r="I36" s="48"/>
      <c r="J36" s="1"/>
    </row>
    <row r="37" spans="3:10" x14ac:dyDescent="0.25">
      <c r="C37" s="1"/>
      <c r="D37" s="1"/>
      <c r="E37" s="1"/>
      <c r="F37" s="1"/>
      <c r="G37" s="1"/>
      <c r="H37" s="48"/>
      <c r="I37" s="48"/>
      <c r="J37" s="1"/>
    </row>
    <row r="38" spans="3:10" x14ac:dyDescent="0.25">
      <c r="I38" s="48"/>
      <c r="J38" s="1"/>
    </row>
    <row r="39" spans="3:10" x14ac:dyDescent="0.25">
      <c r="I39" s="48"/>
      <c r="J39" s="1"/>
    </row>
    <row r="40" spans="3:10" x14ac:dyDescent="0.25">
      <c r="I40" s="48"/>
      <c r="J40" s="1"/>
    </row>
    <row r="41" spans="3:10" x14ac:dyDescent="0.25">
      <c r="I41" s="48"/>
      <c r="J41" s="1"/>
    </row>
  </sheetData>
  <sheetProtection algorithmName="SHA-512" hashValue="uy+LZwWP9EWg2AQGRjoW7xjhx9tZAoL+Q6x7ZGx9ISabHt6DdRuEKRFCXSs9UCjVDn/gZAKkPUx9vtmtK2MVzg==" saltValue="G1psiNVp2deSBKni9nTmNQ==" spinCount="100000" sheet="1" objects="1" scenarios="1"/>
  <sortState ref="O3:R15">
    <sortCondition descending="1" ref="Q3:Q15"/>
  </sortState>
  <mergeCells count="1">
    <mergeCell ref="A7:J7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H SEA 2019</vt:lpstr>
      <vt:lpstr>2019 Regression</vt:lpstr>
      <vt:lpstr>Appendix I SEA 2019</vt:lpstr>
      <vt:lpstr>Appendix J SEA 2019</vt:lpstr>
      <vt:lpstr>Appendix J 2 SEA 2019</vt:lpstr>
      <vt:lpstr>Appendix K 2019</vt:lpstr>
      <vt:lpstr>'Appendix H SEA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2020-11-18T15:52:53Z</dcterms:modified>
</cp:coreProperties>
</file>