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defaultThemeVersion="124226"/>
  <workbookProtection workbookAlgorithmName="SHA-512" workbookHashValue="Mjjg3+EttstBdi6iSMKU+AknAN7z7msuF50DH+D8sPJe2zC3N93k4yZRJv9Jg1EvuowwvsVfhbWO9rVmWYDzPg==" workbookSaltValue="2u6ti7TRFfRHeyHCjBxKCw==" workbookSpinCount="100000" lockStructure="1"/>
  <bookViews>
    <workbookView xWindow="240" yWindow="228" windowWidth="14808" windowHeight="7896" tabRatio="887"/>
  </bookViews>
  <sheets>
    <sheet name="Appendix K SEA 2017" sheetId="15" r:id="rId1"/>
    <sheet name="2018 Regression" sheetId="18" state="hidden" r:id="rId2"/>
    <sheet name="Appendix L SEA 2018" sheetId="13" r:id="rId3"/>
    <sheet name="Appendix M SEA 2018" sheetId="12" r:id="rId4"/>
    <sheet name="Appendix M 2 SEA 2018" sheetId="11" r:id="rId5"/>
    <sheet name="Appendix N 2018" sheetId="10" r:id="rId6"/>
  </sheets>
  <definedNames>
    <definedName name="_xlnm.Print_Area" localSheetId="0">'Appendix K SEA 2017'!$B$1:$N$29</definedName>
  </definedNames>
  <calcPr calcId="171027"/>
</workbook>
</file>

<file path=xl/calcChain.xml><?xml version="1.0" encoding="utf-8"?>
<calcChain xmlns="http://schemas.openxmlformats.org/spreadsheetml/2006/main">
  <c r="K17" i="15" l="1"/>
  <c r="D13" i="13"/>
  <c r="D14" i="13"/>
  <c r="D15" i="13"/>
  <c r="D16" i="13"/>
  <c r="D17" i="13"/>
  <c r="D18" i="13"/>
  <c r="D19" i="13"/>
  <c r="D20" i="13"/>
  <c r="D12" i="13"/>
  <c r="M12" i="12" l="1"/>
  <c r="L12" i="12"/>
  <c r="K12" i="12"/>
  <c r="J12" i="12"/>
  <c r="I12" i="12"/>
  <c r="M13" i="12" l="1"/>
  <c r="M17" i="12"/>
  <c r="M23" i="12"/>
  <c r="M24" i="12" s="1"/>
  <c r="M36" i="12"/>
  <c r="M45" i="12" s="1"/>
  <c r="M42" i="12"/>
  <c r="M43" i="12"/>
  <c r="M44" i="12"/>
  <c r="M52" i="12"/>
  <c r="M57" i="12" s="1"/>
  <c r="M58" i="12"/>
  <c r="M59" i="12"/>
  <c r="F21" i="11"/>
  <c r="F22" i="11"/>
  <c r="F23" i="11"/>
  <c r="F24" i="11"/>
  <c r="F25" i="11" s="1"/>
  <c r="F29" i="11"/>
  <c r="F24" i="10"/>
  <c r="G23" i="10"/>
  <c r="G22" i="10"/>
  <c r="G21" i="10"/>
  <c r="G20" i="10"/>
  <c r="G19" i="10"/>
  <c r="G18" i="10"/>
  <c r="G17" i="10"/>
  <c r="G16" i="10"/>
  <c r="G15" i="10"/>
  <c r="G14" i="10"/>
  <c r="G13" i="10"/>
  <c r="H13" i="10" s="1"/>
  <c r="H14" i="10" s="1"/>
  <c r="G12" i="10"/>
  <c r="G11" i="10"/>
  <c r="H11" i="10" s="1"/>
  <c r="H12" i="10" s="1"/>
  <c r="Q16" i="10"/>
  <c r="R7" i="10" s="1"/>
  <c r="M41" i="12" l="1"/>
  <c r="M25" i="12"/>
  <c r="M26" i="12" s="1"/>
  <c r="M27" i="12" s="1"/>
  <c r="M61" i="12"/>
  <c r="M60" i="12"/>
  <c r="H15" i="10"/>
  <c r="H16" i="10" s="1"/>
  <c r="H17" i="10"/>
  <c r="H18" i="10" s="1"/>
  <c r="H19" i="10" s="1"/>
  <c r="H20" i="10" s="1"/>
  <c r="H21" i="10" s="1"/>
  <c r="H22" i="10" s="1"/>
  <c r="H23" i="10" s="1"/>
  <c r="R14" i="10"/>
  <c r="R6" i="10"/>
  <c r="R13" i="10"/>
  <c r="R5" i="10"/>
  <c r="R12" i="10"/>
  <c r="R4" i="10"/>
  <c r="S4" i="10" s="1"/>
  <c r="R11" i="10"/>
  <c r="R10" i="10"/>
  <c r="R9" i="10"/>
  <c r="R3" i="10"/>
  <c r="S3" i="10" s="1"/>
  <c r="R8" i="10"/>
  <c r="R15" i="10"/>
  <c r="S5" i="10" l="1"/>
  <c r="S6" i="10"/>
  <c r="S7" i="10" s="1"/>
  <c r="S8" i="10" s="1"/>
  <c r="S9" i="10" s="1"/>
  <c r="S10" i="10" s="1"/>
  <c r="S11" i="10" s="1"/>
  <c r="S12" i="10" s="1"/>
  <c r="S13" i="10" s="1"/>
  <c r="S14" i="10" s="1"/>
  <c r="S15" i="10" s="1"/>
  <c r="I42" i="12" l="1"/>
  <c r="J42" i="12"/>
  <c r="K42" i="12"/>
  <c r="I43" i="12"/>
  <c r="J43" i="12"/>
  <c r="K43" i="12"/>
  <c r="F36" i="12"/>
  <c r="G36" i="12"/>
  <c r="H36" i="12"/>
  <c r="I36" i="12"/>
  <c r="I41" i="12" s="1"/>
  <c r="J36" i="12"/>
  <c r="J45" i="12" s="1"/>
  <c r="K36" i="12"/>
  <c r="K41" i="12" s="1"/>
  <c r="L36" i="12"/>
  <c r="K44" i="12" l="1"/>
  <c r="K45" i="12"/>
  <c r="J44" i="12"/>
  <c r="I44" i="12"/>
  <c r="J41" i="12"/>
  <c r="I45" i="12"/>
  <c r="I52" i="12"/>
  <c r="I57" i="12" s="1"/>
  <c r="J52" i="12"/>
  <c r="J57" i="12" s="1"/>
  <c r="I58" i="12"/>
  <c r="J58" i="12"/>
  <c r="I59" i="12"/>
  <c r="J59" i="12"/>
  <c r="I13" i="12"/>
  <c r="J13" i="12"/>
  <c r="I17" i="12"/>
  <c r="J17" i="12"/>
  <c r="I23" i="12"/>
  <c r="I24" i="12" s="1"/>
  <c r="J23" i="12"/>
  <c r="J24" i="12" s="1"/>
  <c r="J60" i="12" l="1"/>
  <c r="I60" i="12"/>
  <c r="J25" i="12"/>
  <c r="J26" i="12" s="1"/>
  <c r="J27" i="12" s="1"/>
  <c r="I25" i="12"/>
  <c r="I26" i="12" s="1"/>
  <c r="I27" i="12" s="1"/>
  <c r="J61" i="12"/>
  <c r="I61" i="12"/>
  <c r="G29" i="11" l="1"/>
  <c r="H29" i="11"/>
  <c r="I29" i="11"/>
  <c r="J29" i="11"/>
  <c r="K29" i="11"/>
  <c r="G21" i="11" l="1"/>
  <c r="G22" i="11"/>
  <c r="G23" i="11"/>
  <c r="G24" i="11"/>
  <c r="G25" i="11" s="1"/>
  <c r="J21" i="11"/>
  <c r="J22" i="11"/>
  <c r="J23" i="11"/>
  <c r="J24" i="11"/>
  <c r="J25" i="11" s="1"/>
  <c r="G21" i="13" l="1"/>
  <c r="E58" i="12" l="1"/>
  <c r="F58" i="12"/>
  <c r="G58" i="12"/>
  <c r="E59" i="12"/>
  <c r="F59" i="12"/>
  <c r="G59" i="12"/>
  <c r="F52" i="12"/>
  <c r="F57" i="12" s="1"/>
  <c r="E52" i="12"/>
  <c r="E57" i="12" s="1"/>
  <c r="E13" i="12"/>
  <c r="F13" i="12"/>
  <c r="G13" i="12"/>
  <c r="H13" i="12"/>
  <c r="K13" i="12"/>
  <c r="L13" i="12"/>
  <c r="E17" i="12"/>
  <c r="F17" i="12"/>
  <c r="G17" i="12"/>
  <c r="H17" i="12"/>
  <c r="K17" i="12"/>
  <c r="L17" i="12"/>
  <c r="E42" i="12"/>
  <c r="F42" i="12"/>
  <c r="G42" i="12"/>
  <c r="H42" i="12"/>
  <c r="L42" i="12"/>
  <c r="E43" i="12"/>
  <c r="F43" i="12"/>
  <c r="G43" i="12"/>
  <c r="H43" i="12"/>
  <c r="L43" i="12"/>
  <c r="F41" i="12"/>
  <c r="E36" i="12"/>
  <c r="E41" i="12" s="1"/>
  <c r="F23" i="12"/>
  <c r="E23" i="12"/>
  <c r="L29" i="11"/>
  <c r="L24" i="11"/>
  <c r="L25" i="11" s="1"/>
  <c r="L23" i="11"/>
  <c r="L22" i="11"/>
  <c r="L21" i="11"/>
  <c r="I24" i="11"/>
  <c r="I25" i="11" s="1"/>
  <c r="I23" i="11"/>
  <c r="I22" i="11"/>
  <c r="I21" i="11"/>
  <c r="G52" i="12"/>
  <c r="G57" i="12" s="1"/>
  <c r="H52" i="12"/>
  <c r="K52" i="12"/>
  <c r="L52" i="12"/>
  <c r="G41" i="12"/>
  <c r="H41" i="12"/>
  <c r="L41" i="12"/>
  <c r="E45" i="12" l="1"/>
  <c r="G61" i="12"/>
  <c r="G44" i="12"/>
  <c r="F61" i="12"/>
  <c r="E61" i="12"/>
  <c r="G60" i="12"/>
  <c r="F60" i="12"/>
  <c r="E60" i="12"/>
  <c r="E25" i="12"/>
  <c r="E26" i="12" s="1"/>
  <c r="E27" i="12" s="1"/>
  <c r="F45" i="12"/>
  <c r="F44" i="12"/>
  <c r="E44" i="12"/>
  <c r="F25" i="12"/>
  <c r="F26" i="12" s="1"/>
  <c r="F27" i="12" s="1"/>
  <c r="L45" i="12"/>
  <c r="L44" i="12"/>
  <c r="H44" i="12"/>
  <c r="H45" i="12"/>
  <c r="G45" i="12"/>
  <c r="F24" i="12"/>
  <c r="E24" i="12"/>
  <c r="K18" i="15" l="1"/>
  <c r="G19" i="13"/>
  <c r="G18" i="13"/>
  <c r="G17" i="13"/>
  <c r="G16" i="13"/>
  <c r="G15" i="13"/>
  <c r="G14" i="13"/>
  <c r="G13" i="13"/>
  <c r="G12" i="13"/>
  <c r="G20" i="13"/>
  <c r="D55" i="12"/>
  <c r="D53" i="12"/>
  <c r="D51" i="12"/>
  <c r="M28" i="12" s="1"/>
  <c r="M29" i="12" s="1"/>
  <c r="L61" i="12"/>
  <c r="L60" i="12"/>
  <c r="L59" i="12"/>
  <c r="L58" i="12"/>
  <c r="L57" i="12"/>
  <c r="L23" i="12"/>
  <c r="L24" i="12" s="1"/>
  <c r="K61" i="12"/>
  <c r="H61" i="12"/>
  <c r="K60" i="12"/>
  <c r="H60" i="12"/>
  <c r="K59" i="12"/>
  <c r="H59" i="12"/>
  <c r="K58" i="12"/>
  <c r="H58" i="12"/>
  <c r="K57" i="12"/>
  <c r="H57" i="12"/>
  <c r="K23" i="12"/>
  <c r="K24" i="12" s="1"/>
  <c r="H23" i="12"/>
  <c r="H24" i="12" s="1"/>
  <c r="G23" i="12"/>
  <c r="G24" i="12" s="1"/>
  <c r="D19" i="11"/>
  <c r="F26" i="11" s="1"/>
  <c r="F27" i="11" s="1"/>
  <c r="M29" i="11"/>
  <c r="E29" i="11"/>
  <c r="M24" i="11"/>
  <c r="M25" i="11" s="1"/>
  <c r="K24" i="11"/>
  <c r="K25" i="11" s="1"/>
  <c r="H24" i="11"/>
  <c r="H25" i="11" s="1"/>
  <c r="E24" i="11"/>
  <c r="E25" i="11" s="1"/>
  <c r="M23" i="11"/>
  <c r="K23" i="11"/>
  <c r="H23" i="11"/>
  <c r="E23" i="11"/>
  <c r="M22" i="11"/>
  <c r="K22" i="11"/>
  <c r="H22" i="11"/>
  <c r="E22" i="11"/>
  <c r="M21" i="11"/>
  <c r="K21" i="11"/>
  <c r="H21" i="11"/>
  <c r="E21" i="11"/>
  <c r="A14" i="11"/>
  <c r="A15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I28" i="12" l="1"/>
  <c r="I29" i="12" s="1"/>
  <c r="J28" i="12"/>
  <c r="J29" i="12" s="1"/>
  <c r="J26" i="11"/>
  <c r="J27" i="11" s="1"/>
  <c r="G26" i="11"/>
  <c r="G27" i="11" s="1"/>
  <c r="D58" i="12"/>
  <c r="F28" i="12"/>
  <c r="F29" i="12" s="1"/>
  <c r="E28" i="12"/>
  <c r="E29" i="12" s="1"/>
  <c r="M26" i="11"/>
  <c r="M27" i="11" s="1"/>
  <c r="I26" i="11"/>
  <c r="I27" i="11" s="1"/>
  <c r="L26" i="11"/>
  <c r="L27" i="11" s="1"/>
  <c r="L25" i="12"/>
  <c r="L26" i="12" s="1"/>
  <c r="L27" i="12" s="1"/>
  <c r="H12" i="13"/>
  <c r="E17" i="15" s="1"/>
  <c r="G17" i="15" s="1"/>
  <c r="G28" i="12"/>
  <c r="H28" i="12"/>
  <c r="K28" i="12"/>
  <c r="L28" i="12"/>
  <c r="G25" i="12"/>
  <c r="G26" i="12" s="1"/>
  <c r="G27" i="12" s="1"/>
  <c r="H25" i="12"/>
  <c r="H26" i="12" s="1"/>
  <c r="H27" i="12" s="1"/>
  <c r="K25" i="12"/>
  <c r="K26" i="12" s="1"/>
  <c r="K27" i="12" s="1"/>
  <c r="H26" i="11"/>
  <c r="H27" i="11" s="1"/>
  <c r="K26" i="11"/>
  <c r="K27" i="11" s="1"/>
  <c r="E26" i="11"/>
  <c r="H29" i="12" l="1"/>
  <c r="G29" i="12"/>
  <c r="D28" i="12"/>
  <c r="L29" i="12"/>
  <c r="K29" i="12"/>
  <c r="E27" i="11"/>
  <c r="D27" i="11" s="1"/>
  <c r="D26" i="11"/>
  <c r="C16" i="15" l="1"/>
  <c r="D29" i="12"/>
  <c r="C21" i="13" s="1"/>
  <c r="D21" i="13" s="1"/>
  <c r="C17" i="15" l="1"/>
  <c r="I17" i="15" s="1"/>
  <c r="I16" i="15"/>
  <c r="M16" i="15" s="1"/>
  <c r="C18" i="15" l="1"/>
  <c r="I18" i="15"/>
  <c r="M18" i="15" s="1"/>
  <c r="M17" i="15"/>
</calcChain>
</file>

<file path=xl/sharedStrings.xml><?xml version="1.0" encoding="utf-8"?>
<sst xmlns="http://schemas.openxmlformats.org/spreadsheetml/2006/main" count="358" uniqueCount="170">
  <si>
    <t>Capacity Related Expense (CR)</t>
  </si>
  <si>
    <t>Direct Expense, Includes Fuel</t>
  </si>
  <si>
    <t>Indirect Expense</t>
  </si>
  <si>
    <t>CR Markup</t>
  </si>
  <si>
    <t>Circuity Markup</t>
  </si>
  <si>
    <t>By Aircraft Type</t>
  </si>
  <si>
    <t>Less Psgr. Liability Insurance</t>
  </si>
  <si>
    <t>Linehaul Expense Allocable to Mail</t>
  </si>
  <si>
    <t>Marked Up Costs (R11*R4*R5*R8)</t>
  </si>
  <si>
    <t xml:space="preserve">Percentage of Eligible Mail RTMs </t>
  </si>
  <si>
    <t>Cost Wtd. By Mail RTMs (R15*R16)</t>
  </si>
  <si>
    <t>Aircraft Code</t>
  </si>
  <si>
    <t>Pax RTMs</t>
  </si>
  <si>
    <t>Frt RTMs Wtd. @ 0.75</t>
  </si>
  <si>
    <t>Mail RTMs</t>
  </si>
  <si>
    <t>Total RTMs</t>
  </si>
  <si>
    <t>Aircraft Miles</t>
  </si>
  <si>
    <t>Available Ton Miles (ATMs)</t>
  </si>
  <si>
    <t>Departures Performed</t>
  </si>
  <si>
    <t>Wtd. Deps. (GTOW)</t>
  </si>
  <si>
    <t>Ton Load Factor</t>
  </si>
  <si>
    <t>Stage Length</t>
  </si>
  <si>
    <t>ATMs per Mile</t>
  </si>
  <si>
    <t>RTMs per Mile</t>
  </si>
  <si>
    <t>RTMs per Hour</t>
  </si>
  <si>
    <t>Eligible Traffic</t>
  </si>
  <si>
    <t>Scheduled + Nonscheduled Traffic</t>
  </si>
  <si>
    <t>Block Hours, T-100</t>
  </si>
  <si>
    <t>.</t>
  </si>
  <si>
    <t>System Parameters for Each Carrier</t>
  </si>
  <si>
    <t>Total</t>
  </si>
  <si>
    <t>Cost per Block Hour (R11÷ R18)</t>
  </si>
  <si>
    <t>Eligible Expense (R13*R32÷R18)</t>
  </si>
  <si>
    <t>Return and Tax Markup</t>
  </si>
  <si>
    <t>T-100 Seg. Mail RTMs</t>
  </si>
  <si>
    <t>T-100 Mkt. Mail RTMs</t>
  </si>
  <si>
    <t>Eligible Cost per RTM (R14÷R36)</t>
  </si>
  <si>
    <t>Carrier</t>
  </si>
  <si>
    <t>Price per Gallon</t>
  </si>
  <si>
    <t>Burn per Hour</t>
  </si>
  <si>
    <t>Costs per Hour</t>
  </si>
  <si>
    <t>Eligible Fuel Expense</t>
  </si>
  <si>
    <t>Cost per Eligible RTM</t>
  </si>
  <si>
    <t>Mail RTMs, Percentage</t>
  </si>
  <si>
    <t>Cost/RTM, Wtd. By Mail RTMs</t>
  </si>
  <si>
    <t>Total Block Hours, T-100 Segment</t>
  </si>
  <si>
    <t>Total Block Hours, Schedule F-2</t>
  </si>
  <si>
    <t>Eligible Mail RTMs, T-100 Segment</t>
  </si>
  <si>
    <t>K3</t>
  </si>
  <si>
    <t>Pacific</t>
  </si>
  <si>
    <t>3F</t>
  </si>
  <si>
    <t>Al. Seaplane</t>
  </si>
  <si>
    <t>J5</t>
  </si>
  <si>
    <t>Island</t>
  </si>
  <si>
    <t>2O</t>
  </si>
  <si>
    <t>Beaver</t>
  </si>
  <si>
    <t>Linehaul, Seaplane</t>
  </si>
  <si>
    <t>Total Eligible RTMs, T-100 Segment</t>
  </si>
  <si>
    <t>$/RTM</t>
  </si>
  <si>
    <t>Nonfuel</t>
  </si>
  <si>
    <t>Linehaul</t>
  </si>
  <si>
    <t>Actual Y</t>
  </si>
  <si>
    <t>Natural Log</t>
  </si>
  <si>
    <t>Regression Statistics</t>
  </si>
  <si>
    <t>Multiple R</t>
  </si>
  <si>
    <t>R Square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</si>
  <si>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</si>
  <si>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</si>
  <si>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</si>
  <si>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</si>
  <si>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</si>
  <si>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</si>
  <si>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</si>
  <si>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</si>
  <si>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</si>
  <si>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</si>
  <si>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</si>
  <si>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P-value</t>
  </si>
  <si>
    <t>Lower 95%</t>
  </si>
  <si>
    <t>Upper 95%</t>
  </si>
  <si>
    <t>X Variable 1</t>
  </si>
  <si>
    <t>Predicted Y</t>
  </si>
  <si>
    <t>Residuals</t>
  </si>
  <si>
    <t>Page 1 of 2</t>
  </si>
  <si>
    <t>Page 2 of 2</t>
  </si>
  <si>
    <t>(1)</t>
  </si>
  <si>
    <t>(2)</t>
  </si>
  <si>
    <t>(3)</t>
  </si>
  <si>
    <t>(4)</t>
  </si>
  <si>
    <t>(5)</t>
  </si>
  <si>
    <t>(6)</t>
  </si>
  <si>
    <t>Avg. Annual</t>
  </si>
  <si>
    <t>Change,</t>
  </si>
  <si>
    <t>Midpoint to</t>
  </si>
  <si>
    <t>Estimated</t>
  </si>
  <si>
    <t xml:space="preserve">Year Ended </t>
  </si>
  <si>
    <t xml:space="preserve">Midpoint </t>
  </si>
  <si>
    <t>Unit Cost at</t>
  </si>
  <si>
    <t>Current Rate</t>
  </si>
  <si>
    <t>Change from</t>
  </si>
  <si>
    <t>1/</t>
  </si>
  <si>
    <t>2/</t>
  </si>
  <si>
    <t>Change</t>
  </si>
  <si>
    <t>3/</t>
  </si>
  <si>
    <t>4/</t>
  </si>
  <si>
    <t>Current</t>
  </si>
  <si>
    <t>5/</t>
  </si>
  <si>
    <t>Unit Cost per</t>
  </si>
  <si>
    <t>Revenue Ton-Mile</t>
  </si>
  <si>
    <t>Fuel</t>
  </si>
  <si>
    <t>3/ Reflects the fact that from the midpoint of the reporting period to the midpoint of the prospective</t>
  </si>
  <si>
    <t>The total is the sum of the two. The final order will reflect the most recent quarterly fuel costs available at the time.</t>
  </si>
  <si>
    <t>5/ Column 4 ÷ Column 5 less 1.</t>
  </si>
  <si>
    <t>Increase</t>
  </si>
  <si>
    <t>Cumulative</t>
  </si>
  <si>
    <t>2-Ltr.</t>
  </si>
  <si>
    <t>A/C Type</t>
  </si>
  <si>
    <t>Percent</t>
  </si>
  <si>
    <t>Taquan</t>
  </si>
  <si>
    <t>Eligible</t>
  </si>
  <si>
    <t xml:space="preserve">Predicted </t>
  </si>
  <si>
    <t>Linehual, Seaplane</t>
  </si>
  <si>
    <t>Total Fuel Expense, Schedule F-2</t>
  </si>
  <si>
    <t>Total Gallons Issued, Schedule F-2</t>
  </si>
  <si>
    <t>Ratio of Total to Revenue Block Hours</t>
  </si>
  <si>
    <t>Adjusted R Square</t>
  </si>
  <si>
    <t>Standard Error</t>
  </si>
  <si>
    <t>t Stat</t>
  </si>
  <si>
    <t>Std. Error</t>
  </si>
  <si>
    <t>Alaska Seaplanes</t>
  </si>
  <si>
    <t>Island Air Service</t>
  </si>
  <si>
    <t>Island Air Express</t>
  </si>
  <si>
    <t>X4</t>
  </si>
  <si>
    <t>Caravan</t>
  </si>
  <si>
    <t>Eligible Block Hours, T-100 Segment</t>
  </si>
  <si>
    <t>Air Excursions LLC</t>
  </si>
  <si>
    <t>Pacific Airways, Inc.</t>
  </si>
  <si>
    <t>I4</t>
  </si>
  <si>
    <t>Appendix K</t>
  </si>
  <si>
    <t>Appendix L</t>
  </si>
  <si>
    <t>Appendix M</t>
  </si>
  <si>
    <t>Appendix N</t>
  </si>
  <si>
    <t>Is. Air Exp</t>
  </si>
  <si>
    <t>G. Caravan</t>
  </si>
  <si>
    <t>Otter</t>
  </si>
  <si>
    <t>C206/7/8</t>
  </si>
  <si>
    <t>SUMMARY OUTPUT</t>
  </si>
  <si>
    <t>Lower 95.0%</t>
  </si>
  <si>
    <t>Upper 95.0%</t>
  </si>
  <si>
    <t>RESIDUAL OUTPUT</t>
  </si>
  <si>
    <t>Observation</t>
  </si>
  <si>
    <t>a 12-month period.</t>
  </si>
  <si>
    <t>Grand Total</t>
  </si>
  <si>
    <r>
      <t xml:space="preserve">Determination of Carriers Included in the Class Rates, One Percent Rule, YE </t>
    </r>
    <r>
      <rPr>
        <sz val="11"/>
        <color rgb="FFFF0000"/>
        <rFont val="Times New Roman"/>
        <family val="1"/>
      </rPr>
      <t>9-30-18</t>
    </r>
  </si>
  <si>
    <t>Air Excr.</t>
  </si>
  <si>
    <r>
      <t xml:space="preserve">Year Ended September 30, </t>
    </r>
    <r>
      <rPr>
        <sz val="11"/>
        <color rgb="FFFF0000"/>
        <rFont val="Times New Roman"/>
        <family val="1"/>
      </rPr>
      <t>2018</t>
    </r>
  </si>
  <si>
    <r>
      <t xml:space="preserve">Year Ended September 30, </t>
    </r>
    <r>
      <rPr>
        <sz val="8"/>
        <color rgb="FFFF0000"/>
        <rFont val="Times New Roman"/>
        <family val="1"/>
      </rPr>
      <t>2018</t>
    </r>
  </si>
  <si>
    <t>YE 6/30/08</t>
  </si>
  <si>
    <r>
      <rPr>
        <u/>
        <sz val="11"/>
        <rFont val="Times New Roman"/>
        <family val="1"/>
      </rPr>
      <t xml:space="preserve">Order </t>
    </r>
    <r>
      <rPr>
        <u/>
        <sz val="11"/>
        <color rgb="FFFF0000"/>
        <rFont val="Times New Roman"/>
        <family val="1"/>
      </rPr>
      <t>2019-5-17</t>
    </r>
  </si>
  <si>
    <r>
      <rPr>
        <u/>
        <sz val="11"/>
        <rFont val="Times New Roman"/>
        <family val="1"/>
      </rPr>
      <t xml:space="preserve">to YE </t>
    </r>
    <r>
      <rPr>
        <u/>
        <sz val="11"/>
        <color rgb="FFFF0000"/>
        <rFont val="Times New Roman"/>
        <family val="1"/>
      </rPr>
      <t>9/30/18</t>
    </r>
  </si>
  <si>
    <r>
      <t xml:space="preserve">rate is 2 years.  </t>
    </r>
    <r>
      <rPr>
        <sz val="11"/>
        <color rgb="FFFF0000"/>
        <rFont val="Times New Roman"/>
        <family val="1"/>
      </rPr>
      <t>1.0066 x 1.0066 = 1.0133, where 1.0066</t>
    </r>
    <r>
      <rPr>
        <sz val="11"/>
        <color theme="1"/>
        <rFont val="Times New Roman"/>
        <family val="1"/>
      </rPr>
      <t xml:space="preserve"> is the average annual unit cost increase projected for</t>
    </r>
  </si>
  <si>
    <t>1/  Nonfuel, Appendix M, Page 1 of 2; Fuel, Appendix M, Page 2 of 2.</t>
  </si>
  <si>
    <t>2/ We assume fuel increases will be zero.  For nonfuel, see "predicted annual increase" in Appendix L, Page 1 of 2.</t>
  </si>
  <si>
    <r>
      <t xml:space="preserve">4/ Fuel reflects YE </t>
    </r>
    <r>
      <rPr>
        <sz val="11"/>
        <color rgb="FFFF0000"/>
        <rFont val="Times New Roman"/>
        <family val="1"/>
      </rPr>
      <t>9-30-18</t>
    </r>
    <r>
      <rPr>
        <sz val="11"/>
        <color theme="1"/>
        <rFont val="Times New Roman"/>
        <family val="1"/>
      </rPr>
      <t xml:space="preserve">, Appendix M, Page 2 of 2.  Nonfuel is column (1) mulitplied by Column (3). </t>
    </r>
  </si>
  <si>
    <r>
      <t xml:space="preserve">Calculation of the Linehaul, Seaplane, </t>
    </r>
    <r>
      <rPr>
        <sz val="11"/>
        <rFont val="Times New Roman"/>
        <family val="1"/>
      </rPr>
      <t>YE</t>
    </r>
    <r>
      <rPr>
        <sz val="11"/>
        <color rgb="FFFF0000"/>
        <rFont val="Times New Roman"/>
        <family val="1"/>
      </rPr>
      <t xml:space="preserve"> 9-30-18</t>
    </r>
  </si>
  <si>
    <t>Regression Analysis of the Nonfuel Linehaul Unit Cost per RTM</t>
  </si>
  <si>
    <t>EXP(Y)</t>
  </si>
  <si>
    <t xml:space="preserve">Annual </t>
  </si>
  <si>
    <t>Year-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</si>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</sst>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"/>
    <numFmt numFmtId="165" formatCode="&quot;$&quot;#,##0.00"/>
    <numFmt numFmtId="166" formatCode="&quot;$&quot;#,##0.0000"/>
    <numFmt numFmtId="167" formatCode="0.000%"/>
    <numFmt numFmtId="168" formatCode="0.0%"/>
    <numFmt numFmtId="169" formatCode="0.00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8"/>
      <color theme="1"/>
      <name val="Times New Roman"/>
      <family val="1"/>
    </font>
    <font>
      <u/>
      <sz val="8"/>
      <color theme="1"/>
      <name val="Times New Roman"/>
      <family val="1"/>
    </font>
    <font>
      <u val="double"/>
      <sz val="8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rgb="FFFF0000"/>
      <name val="Times New Roman"/>
      <family val="1"/>
    </font>
    <font>
      <u/>
      <sz val="11"/>
      <name val="Times New Roman"/>
      <family val="1"/>
    </font>
    <font>
      <sz val="10"/>
      <color theme="1"/>
      <name val="Times New Roman"/>
      <family val="1"/>
    </font>
    <font>
      <sz val="8"/>
      <color rgb="FFFF0000"/>
      <name val="Times New Roman"/>
      <family val="1"/>
    </font>
    <font>
      <u val="double"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0" fontId="3" fillId="0" borderId="0" xfId="0" applyNumberFormat="1" applyFont="1"/>
    <xf numFmtId="0" fontId="1" fillId="0" borderId="1" xfId="0" applyFont="1" applyBorder="1" applyAlignment="1">
      <alignment horizontal="centerContinuous"/>
    </xf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>
      <alignment horizontal="centerContinuous"/>
    </xf>
    <xf numFmtId="166" fontId="3" fillId="0" borderId="0" xfId="0" applyNumberFormat="1" applyFont="1"/>
    <xf numFmtId="166" fontId="4" fillId="0" borderId="0" xfId="0" applyNumberFormat="1" applyFont="1"/>
    <xf numFmtId="10" fontId="1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10" fontId="1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/>
    <xf numFmtId="164" fontId="5" fillId="0" borderId="0" xfId="0" applyNumberFormat="1" applyFont="1"/>
    <xf numFmtId="10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" fontId="5" fillId="0" borderId="0" xfId="0" applyNumberFormat="1" applyFont="1"/>
    <xf numFmtId="165" fontId="5" fillId="0" borderId="0" xfId="0" applyNumberFormat="1" applyFont="1"/>
    <xf numFmtId="166" fontId="5" fillId="0" borderId="0" xfId="0" applyNumberFormat="1" applyFont="1"/>
    <xf numFmtId="10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7" fontId="5" fillId="0" borderId="0" xfId="0" applyNumberFormat="1" applyFont="1"/>
    <xf numFmtId="4" fontId="5" fillId="0" borderId="0" xfId="0" applyNumberFormat="1" applyFont="1"/>
    <xf numFmtId="0" fontId="1" fillId="0" borderId="2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4" fontId="1" fillId="0" borderId="0" xfId="0" applyNumberFormat="1" applyFont="1" applyBorder="1" applyAlignment="1">
      <alignment horizontal="left"/>
    </xf>
    <xf numFmtId="166" fontId="1" fillId="0" borderId="0" xfId="0" applyNumberFormat="1" applyFont="1" applyBorder="1"/>
    <xf numFmtId="0" fontId="1" fillId="0" borderId="0" xfId="0" applyFont="1" applyFill="1" applyBorder="1" applyAlignment="1"/>
    <xf numFmtId="10" fontId="1" fillId="0" borderId="0" xfId="0" applyNumberFormat="1" applyFont="1" applyBorder="1"/>
    <xf numFmtId="166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2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14" fontId="9" fillId="0" borderId="0" xfId="0" applyNumberFormat="1" applyFont="1"/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10" fontId="2" fillId="0" borderId="0" xfId="0" applyNumberFormat="1" applyFont="1"/>
    <xf numFmtId="3" fontId="11" fillId="0" borderId="0" xfId="0" applyNumberFormat="1" applyFont="1" applyAlignment="1">
      <alignment horizontal="right"/>
    </xf>
    <xf numFmtId="10" fontId="11" fillId="0" borderId="0" xfId="0" applyNumberFormat="1" applyFont="1"/>
    <xf numFmtId="0" fontId="1" fillId="2" borderId="0" xfId="0" applyFont="1" applyFill="1"/>
    <xf numFmtId="0" fontId="0" fillId="0" borderId="0" xfId="0" applyFill="1" applyBorder="1" applyAlignment="1"/>
    <xf numFmtId="0" fontId="0" fillId="0" borderId="3" xfId="0" applyFill="1" applyBorder="1" applyAlignment="1"/>
    <xf numFmtId="166" fontId="7" fillId="2" borderId="0" xfId="0" applyNumberFormat="1" applyFont="1" applyFill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centerContinuous"/>
    </xf>
    <xf numFmtId="3" fontId="2" fillId="0" borderId="0" xfId="0" applyNumberFormat="1" applyFont="1" applyAlignment="1">
      <alignment horizontal="right"/>
    </xf>
    <xf numFmtId="165" fontId="1" fillId="0" borderId="0" xfId="0" applyNumberFormat="1" applyFont="1"/>
    <xf numFmtId="167" fontId="1" fillId="0" borderId="0" xfId="0" applyNumberFormat="1" applyFont="1" applyAlignment="1">
      <alignment horizontal="right"/>
    </xf>
    <xf numFmtId="166" fontId="13" fillId="2" borderId="0" xfId="0" applyNumberFormat="1" applyFont="1" applyFill="1" applyAlignment="1">
      <alignment horizontal="right"/>
    </xf>
    <xf numFmtId="10" fontId="1" fillId="2" borderId="0" xfId="0" applyNumberFormat="1" applyFont="1" applyFill="1"/>
    <xf numFmtId="0" fontId="14" fillId="0" borderId="0" xfId="0" applyFont="1" applyAlignment="1">
      <alignment horizontal="center"/>
    </xf>
    <xf numFmtId="3" fontId="0" fillId="0" borderId="0" xfId="0" applyNumberFormat="1"/>
    <xf numFmtId="0" fontId="1" fillId="2" borderId="0" xfId="0" applyFont="1" applyFill="1" applyBorder="1"/>
    <xf numFmtId="164" fontId="1" fillId="3" borderId="0" xfId="0" applyNumberFormat="1" applyFont="1" applyFill="1"/>
    <xf numFmtId="3" fontId="1" fillId="3" borderId="0" xfId="0" applyNumberFormat="1" applyFont="1" applyFill="1"/>
    <xf numFmtId="164" fontId="5" fillId="3" borderId="0" xfId="0" applyNumberFormat="1" applyFont="1" applyFill="1"/>
    <xf numFmtId="3" fontId="5" fillId="3" borderId="0" xfId="0" applyNumberFormat="1" applyFont="1" applyFill="1"/>
    <xf numFmtId="164" fontId="6" fillId="3" borderId="0" xfId="0" applyNumberFormat="1" applyFont="1" applyFill="1"/>
    <xf numFmtId="3" fontId="6" fillId="3" borderId="0" xfId="0" applyNumberFormat="1" applyFont="1" applyFill="1"/>
    <xf numFmtId="10" fontId="1" fillId="0" borderId="0" xfId="1" applyNumberFormat="1" applyFont="1" applyBorder="1"/>
    <xf numFmtId="0" fontId="16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Continuous"/>
    </xf>
    <xf numFmtId="3" fontId="1" fillId="0" borderId="0" xfId="0" applyNumberFormat="1" applyFont="1" applyBorder="1"/>
    <xf numFmtId="0" fontId="0" fillId="0" borderId="5" xfId="0" applyBorder="1"/>
    <xf numFmtId="168" fontId="1" fillId="0" borderId="0" xfId="1" applyNumberFormat="1" applyFont="1"/>
    <xf numFmtId="168" fontId="1" fillId="0" borderId="5" xfId="1" applyNumberFormat="1" applyFont="1" applyBorder="1"/>
    <xf numFmtId="168" fontId="1" fillId="0" borderId="0" xfId="0" applyNumberFormat="1" applyFont="1"/>
    <xf numFmtId="0" fontId="0" fillId="0" borderId="3" xfId="0" applyBorder="1"/>
    <xf numFmtId="168" fontId="1" fillId="0" borderId="3" xfId="1" applyNumberFormat="1" applyFont="1" applyBorder="1"/>
    <xf numFmtId="168" fontId="1" fillId="0" borderId="3" xfId="0" applyNumberFormat="1" applyFont="1" applyBorder="1"/>
    <xf numFmtId="168" fontId="1" fillId="0" borderId="5" xfId="0" applyNumberFormat="1" applyFont="1" applyBorder="1"/>
    <xf numFmtId="10" fontId="1" fillId="0" borderId="0" xfId="0" applyNumberFormat="1" applyFont="1" applyBorder="1" applyAlignment="1">
      <alignment horizontal="right"/>
    </xf>
    <xf numFmtId="10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164" fontId="17" fillId="3" borderId="0" xfId="0" applyNumberFormat="1" applyFont="1" applyFill="1"/>
    <xf numFmtId="10" fontId="17" fillId="0" borderId="0" xfId="0" applyNumberFormat="1" applyFont="1"/>
    <xf numFmtId="169" fontId="1" fillId="0" borderId="0" xfId="0" applyNumberFormat="1" applyFont="1" applyBorder="1"/>
    <xf numFmtId="169" fontId="1" fillId="0" borderId="3" xfId="0" applyNumberFormat="1" applyFont="1" applyBorder="1"/>
    <xf numFmtId="166" fontId="1" fillId="0" borderId="3" xfId="0" applyNumberFormat="1" applyFont="1" applyBorder="1" applyAlignment="1">
      <alignment horizontal="right"/>
    </xf>
    <xf numFmtId="0" fontId="1" fillId="0" borderId="3" xfId="0" applyFont="1" applyFill="1" applyBorder="1" applyAlignment="1"/>
    <xf numFmtId="0" fontId="19" fillId="0" borderId="4" xfId="0" applyFont="1" applyFill="1" applyBorder="1" applyAlignment="1">
      <alignment horizontal="centerContinuous"/>
    </xf>
    <xf numFmtId="0" fontId="1" fillId="0" borderId="3" xfId="0" applyFont="1" applyBorder="1"/>
    <xf numFmtId="0" fontId="1" fillId="0" borderId="0" xfId="0" applyFont="1" applyFill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Nonfuel Linehaul, Unit Cost per RTM, </a:t>
            </a:r>
          </a:p>
          <a:p>
            <a:pPr>
              <a:defRPr/>
            </a:pPr>
            <a:r>
              <a:rPr lang="en-US"/>
              <a:t>Actual</a:t>
            </a:r>
            <a:r>
              <a:rPr lang="en-US" baseline="0"/>
              <a:t> vs. Predicted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2.0888083320966928E-2"/>
                  <c:y val="0.22543485420607992"/>
                </c:manualLayout>
              </c:layout>
              <c:numFmt formatCode="General" sourceLinked="0"/>
            </c:trendlineLbl>
          </c:trendline>
          <c:xVal>
            <c:numRef>
              <c:f>'Appendix L SEA 2018'!$B$12:$B$21</c:f>
              <c:numCache>
                <c:formatCode>m/d/yyyy</c:formatCode>
                <c:ptCount val="10"/>
                <c:pt idx="0">
                  <c:v>39629</c:v>
                </c:pt>
                <c:pt idx="1">
                  <c:v>39994</c:v>
                </c:pt>
                <c:pt idx="2">
                  <c:v>40359</c:v>
                </c:pt>
                <c:pt idx="3">
                  <c:v>41182</c:v>
                </c:pt>
                <c:pt idx="4">
                  <c:v>41547</c:v>
                </c:pt>
                <c:pt idx="5">
                  <c:v>41912</c:v>
                </c:pt>
                <c:pt idx="6">
                  <c:v>42277</c:v>
                </c:pt>
                <c:pt idx="7">
                  <c:v>42643</c:v>
                </c:pt>
                <c:pt idx="8">
                  <c:v>43008</c:v>
                </c:pt>
                <c:pt idx="9">
                  <c:v>43373</c:v>
                </c:pt>
              </c:numCache>
            </c:numRef>
          </c:xVal>
          <c:yVal>
            <c:numRef>
              <c:f>'Appendix L SEA 2018'!$D$12:$D$21</c:f>
              <c:numCache>
                <c:formatCode>0.00000000</c:formatCode>
                <c:ptCount val="10"/>
                <c:pt idx="0">
                  <c:v>3.2468177867469485</c:v>
                </c:pt>
                <c:pt idx="1">
                  <c:v>3.2620655740437163</c:v>
                </c:pt>
                <c:pt idx="2">
                  <c:v>3.2198593410575547</c:v>
                </c:pt>
                <c:pt idx="3">
                  <c:v>3.2078067884972934</c:v>
                </c:pt>
                <c:pt idx="4">
                  <c:v>3.1431043159580021</c:v>
                </c:pt>
                <c:pt idx="5">
                  <c:v>3.1380734954217515</c:v>
                </c:pt>
                <c:pt idx="6">
                  <c:v>3.2419851033299976</c:v>
                </c:pt>
                <c:pt idx="7">
                  <c:v>3.2502310707905391</c:v>
                </c:pt>
                <c:pt idx="8">
                  <c:v>3.2985110649226965</c:v>
                </c:pt>
                <c:pt idx="9">
                  <c:v>3.3603935248930448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4-453E-A4FE-773EC89648FA}"/>
            </c:ext>
          </c:extLst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'Appendix L SEA 2018'!$B$12:$B$21</c:f>
              <c:numCache>
                <c:formatCode>m/d/yyyy</c:formatCode>
                <c:ptCount val="10"/>
                <c:pt idx="0">
                  <c:v>39629</c:v>
                </c:pt>
                <c:pt idx="1">
                  <c:v>39994</c:v>
                </c:pt>
                <c:pt idx="2">
                  <c:v>40359</c:v>
                </c:pt>
                <c:pt idx="3">
                  <c:v>41182</c:v>
                </c:pt>
                <c:pt idx="4">
                  <c:v>41547</c:v>
                </c:pt>
                <c:pt idx="5">
                  <c:v>41912</c:v>
                </c:pt>
                <c:pt idx="6">
                  <c:v>42277</c:v>
                </c:pt>
                <c:pt idx="7">
                  <c:v>42643</c:v>
                </c:pt>
                <c:pt idx="8">
                  <c:v>43008</c:v>
                </c:pt>
                <c:pt idx="9">
                  <c:v>43373</c:v>
                </c:pt>
              </c:numCache>
            </c:numRef>
          </c:xVal>
          <c:yVal>
            <c:numRef>
              <c:f>'Appendix L SEA 2018'!$E$12:$E$21</c:f>
              <c:numCache>
                <c:formatCode>General</c:formatCode>
                <c:ptCount val="10"/>
                <c:pt idx="0">
                  <c:v>3.2013572939989121</c:v>
                </c:pt>
                <c:pt idx="1">
                  <c:v>3.2079619298790405</c:v>
                </c:pt>
                <c:pt idx="2">
                  <c:v>3.2145665657591684</c:v>
                </c:pt>
                <c:pt idx="3">
                  <c:v>3.2294586625518957</c:v>
                </c:pt>
                <c:pt idx="4">
                  <c:v>3.2360632984320237</c:v>
                </c:pt>
                <c:pt idx="5">
                  <c:v>3.2426679343121521</c:v>
                </c:pt>
                <c:pt idx="6">
                  <c:v>3.24927257019228</c:v>
                </c:pt>
                <c:pt idx="7">
                  <c:v>3.2558953009652303</c:v>
                </c:pt>
                <c:pt idx="8">
                  <c:v>3.2624999368453582</c:v>
                </c:pt>
                <c:pt idx="9">
                  <c:v>3.2691045727254866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A4-453E-A4FE-773EC8964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26816"/>
        <c:axId val="135428736"/>
      </c:scatterChart>
      <c:valAx>
        <c:axId val="135426816"/>
        <c:scaling>
          <c:orientation val="minMax"/>
          <c:max val="43500"/>
          <c:min val="39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  <a:r>
                  <a:rPr lang="en-US" baseline="0"/>
                  <a:t> </a:t>
                </a:r>
                <a:r>
                  <a:rPr lang="en-US"/>
                  <a:t>Ended June 30, 2008, through September 30, 2018</a:t>
                </a:r>
              </a:p>
            </c:rich>
          </c:tx>
          <c:overlay val="0"/>
        </c:title>
        <c:numFmt formatCode="[$-409]mmm\-yy;@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35428736"/>
        <c:crosses val="autoZero"/>
        <c:crossBetween val="midCat"/>
      </c:valAx>
      <c:valAx>
        <c:axId val="135428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RTM, Natural Log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135426816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</xdr:row>
      <xdr:rowOff>0</xdr:rowOff>
    </xdr:from>
    <xdr:to>
      <xdr:col>27</xdr:col>
      <xdr:colOff>426720</xdr:colOff>
      <xdr:row>35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519299-9534-496C-8980-C7609F8AA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2020" y="1051560"/>
          <a:ext cx="7924800" cy="5090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14</xdr:col>
      <xdr:colOff>190500</xdr:colOff>
      <xdr:row>59</xdr:row>
      <xdr:rowOff>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B7B4C08-812C-4E4F-84C0-38D40F5F4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5433060"/>
          <a:ext cx="8107680" cy="491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461792</xdr:colOff>
      <xdr:row>5</xdr:row>
      <xdr:rowOff>31824</xdr:rowOff>
    </xdr:from>
    <xdr:to>
      <xdr:col>20</xdr:col>
      <xdr:colOff>541019</xdr:colOff>
      <xdr:row>31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34</xdr:row>
      <xdr:rowOff>0</xdr:rowOff>
    </xdr:from>
    <xdr:to>
      <xdr:col>21</xdr:col>
      <xdr:colOff>7620</xdr:colOff>
      <xdr:row>67</xdr:row>
      <xdr:rowOff>15240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BD232E-E8AE-4731-8B0F-AD75A6881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2380" y="5981700"/>
          <a:ext cx="6880860" cy="5814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10</xdr:col>
      <xdr:colOff>180975</xdr:colOff>
      <xdr:row>87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AC177AE-2579-4F9D-926A-A4E9AEAFA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429625"/>
          <a:ext cx="7439025" cy="824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62</xdr:row>
      <xdr:rowOff>0</xdr:rowOff>
    </xdr:from>
    <xdr:to>
      <xdr:col>13</xdr:col>
      <xdr:colOff>297180</xdr:colOff>
      <xdr:row>124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AA5FE5-1AC5-4770-8E44-07723070B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8191500"/>
          <a:ext cx="8237220" cy="8069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13</xdr:col>
      <xdr:colOff>7620</xdr:colOff>
      <xdr:row>60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57D2BB-D05F-4D44-BA79-460013BA3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33060"/>
          <a:ext cx="9403080" cy="5090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10</xdr:col>
      <xdr:colOff>236220</xdr:colOff>
      <xdr:row>52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D62099-9901-4722-870D-447D3608F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754880"/>
          <a:ext cx="6111240" cy="458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8"/>
  <sheetViews>
    <sheetView showGridLines="0" tabSelected="1" workbookViewId="0">
      <selection activeCell="B32" sqref="B32"/>
    </sheetView>
  </sheetViews>
  <sheetFormatPr defaultColWidth="9.109375" defaultRowHeight="13.8" x14ac:dyDescent="0.25"/>
  <cols>
    <col min="1" max="1" width="2.6640625" style="6" customWidth="1"/>
    <col min="2" max="2" width="17.5546875" style="6" bestFit="1" customWidth="1"/>
    <col min="3" max="3" width="11.33203125" style="6" bestFit="1" customWidth="1"/>
    <col min="4" max="4" width="2.88671875" style="6" bestFit="1" customWidth="1"/>
    <col min="5" max="5" width="13.88671875" style="6" bestFit="1" customWidth="1"/>
    <col min="6" max="6" width="2.88671875" style="6" bestFit="1" customWidth="1"/>
    <col min="7" max="7" width="12" style="6" bestFit="1" customWidth="1"/>
    <col min="8" max="8" width="2.88671875" style="6" bestFit="1" customWidth="1"/>
    <col min="9" max="9" width="12.33203125" style="6" bestFit="1" customWidth="1"/>
    <col min="10" max="10" width="2.6640625" style="6" bestFit="1" customWidth="1"/>
    <col min="11" max="11" width="16.88671875" style="6" bestFit="1" customWidth="1"/>
    <col min="12" max="12" width="2.88671875" style="6" bestFit="1" customWidth="1"/>
    <col min="13" max="13" width="12.33203125" style="6" bestFit="1" customWidth="1"/>
    <col min="14" max="14" width="4.88671875" style="6" customWidth="1"/>
    <col min="15" max="16384" width="9.109375" style="6"/>
  </cols>
  <sheetData>
    <row r="1" spans="2:14" x14ac:dyDescent="0.25">
      <c r="N1" s="3"/>
    </row>
    <row r="2" spans="2:14" x14ac:dyDescent="0.25">
      <c r="N2" s="3" t="s">
        <v>56</v>
      </c>
    </row>
    <row r="3" spans="2:14" x14ac:dyDescent="0.25">
      <c r="N3" s="3" t="s">
        <v>138</v>
      </c>
    </row>
    <row r="5" spans="2:14" x14ac:dyDescent="0.25">
      <c r="C5" s="57" t="s">
        <v>164</v>
      </c>
      <c r="D5" s="11"/>
      <c r="E5" s="11"/>
      <c r="F5" s="11"/>
      <c r="G5" s="11"/>
      <c r="H5" s="11"/>
      <c r="I5" s="11"/>
      <c r="J5" s="11"/>
      <c r="K5" s="11"/>
      <c r="L5" s="11"/>
      <c r="M5" s="11"/>
    </row>
    <row r="8" spans="2:14" x14ac:dyDescent="0.25">
      <c r="B8" s="2"/>
      <c r="C8" s="58" t="s">
        <v>85</v>
      </c>
      <c r="D8" s="58"/>
      <c r="E8" s="58" t="s">
        <v>86</v>
      </c>
      <c r="F8" s="58"/>
      <c r="G8" s="58" t="s">
        <v>87</v>
      </c>
      <c r="H8" s="58"/>
      <c r="I8" s="58" t="s">
        <v>88</v>
      </c>
      <c r="J8" s="58"/>
      <c r="K8" s="58" t="s">
        <v>89</v>
      </c>
      <c r="L8" s="58"/>
      <c r="M8" s="58" t="s">
        <v>90</v>
      </c>
    </row>
    <row r="9" spans="2:14" s="2" customFormat="1" x14ac:dyDescent="0.25"/>
    <row r="10" spans="2:14" s="2" customFormat="1" x14ac:dyDescent="0.25">
      <c r="E10" s="3" t="s">
        <v>91</v>
      </c>
    </row>
    <row r="11" spans="2:14" s="2" customFormat="1" x14ac:dyDescent="0.25">
      <c r="E11" s="3" t="s">
        <v>92</v>
      </c>
      <c r="G11" s="3" t="s">
        <v>93</v>
      </c>
      <c r="H11" s="3"/>
      <c r="I11" s="3" t="s">
        <v>94</v>
      </c>
      <c r="J11" s="3"/>
      <c r="K11" s="3"/>
      <c r="L11" s="3"/>
      <c r="M11" s="3"/>
    </row>
    <row r="12" spans="2:14" s="2" customFormat="1" x14ac:dyDescent="0.25">
      <c r="C12" s="2" t="s">
        <v>95</v>
      </c>
      <c r="E12" s="3" t="s">
        <v>157</v>
      </c>
      <c r="G12" s="3" t="s">
        <v>96</v>
      </c>
      <c r="H12" s="3"/>
      <c r="I12" s="3" t="s">
        <v>97</v>
      </c>
      <c r="J12" s="3"/>
      <c r="K12" s="3" t="s">
        <v>98</v>
      </c>
      <c r="L12" s="3"/>
      <c r="M12" s="3" t="s">
        <v>99</v>
      </c>
    </row>
    <row r="13" spans="2:14" s="4" customFormat="1" x14ac:dyDescent="0.25">
      <c r="C13" s="59">
        <v>43373</v>
      </c>
      <c r="D13" s="62" t="s">
        <v>100</v>
      </c>
      <c r="E13" s="60" t="s">
        <v>159</v>
      </c>
      <c r="F13" s="4" t="s">
        <v>101</v>
      </c>
      <c r="G13" s="5" t="s">
        <v>102</v>
      </c>
      <c r="H13" s="5" t="s">
        <v>103</v>
      </c>
      <c r="I13" s="61">
        <v>43921</v>
      </c>
      <c r="J13" s="63" t="s">
        <v>104</v>
      </c>
      <c r="K13" s="60" t="s">
        <v>158</v>
      </c>
      <c r="L13" s="5"/>
      <c r="M13" s="5" t="s">
        <v>105</v>
      </c>
      <c r="N13" s="4" t="s">
        <v>106</v>
      </c>
    </row>
    <row r="14" spans="2:14" s="2" customFormat="1" x14ac:dyDescent="0.25">
      <c r="B14" s="2" t="s">
        <v>107</v>
      </c>
    </row>
    <row r="15" spans="2:14" s="2" customFormat="1" x14ac:dyDescent="0.25">
      <c r="B15" s="2" t="s">
        <v>108</v>
      </c>
    </row>
    <row r="16" spans="2:14" x14ac:dyDescent="0.25">
      <c r="B16" s="56" t="s">
        <v>109</v>
      </c>
      <c r="C16" s="55">
        <f>'Appendix M 2 SEA 2018'!D27</f>
        <v>5.7402982184337459</v>
      </c>
      <c r="D16" s="12"/>
      <c r="E16" s="2">
        <v>0</v>
      </c>
      <c r="G16" s="2">
        <v>0</v>
      </c>
      <c r="I16" s="55">
        <f>C16</f>
        <v>5.7402982184337459</v>
      </c>
      <c r="J16" s="12"/>
      <c r="K16" s="55">
        <v>4.5048000000000004</v>
      </c>
      <c r="L16" s="12"/>
      <c r="M16" s="14">
        <f>I16/K16-1</f>
        <v>0.27426261286488751</v>
      </c>
    </row>
    <row r="17" spans="2:13" x14ac:dyDescent="0.25">
      <c r="B17" s="56" t="s">
        <v>59</v>
      </c>
      <c r="C17" s="54">
        <f>'Appendix M SEA 2018'!D29-C16</f>
        <v>28.800522371970278</v>
      </c>
      <c r="D17" s="13"/>
      <c r="E17" s="14">
        <f>'Appendix L SEA 2018'!$H$12</f>
        <v>6.6264945841121303E-3</v>
      </c>
      <c r="F17" s="7"/>
      <c r="G17" s="14">
        <f>(1+E17)*(1+(E17*1))-1</f>
        <v>1.3296899598697509E-2</v>
      </c>
      <c r="H17" s="7"/>
      <c r="I17" s="54">
        <f>(1+G17)*C17</f>
        <v>29.183480026340408</v>
      </c>
      <c r="J17" s="13"/>
      <c r="K17" s="54">
        <f>31.8565-4.5048</f>
        <v>27.351700000000001</v>
      </c>
      <c r="L17" s="12"/>
      <c r="M17" s="64">
        <f>I17/K17-1</f>
        <v>6.6971340952862501E-2</v>
      </c>
    </row>
    <row r="18" spans="2:13" x14ac:dyDescent="0.25">
      <c r="C18" s="55">
        <f>SUM(C16:C17)</f>
        <v>34.540820590404024</v>
      </c>
      <c r="D18" s="12"/>
      <c r="I18" s="55">
        <f>SUM(I16:I17)</f>
        <v>34.923778244774155</v>
      </c>
      <c r="J18" s="12"/>
      <c r="K18" s="55">
        <f>SUM(K16:K17)</f>
        <v>31.8565</v>
      </c>
      <c r="L18" s="12"/>
      <c r="M18" s="14">
        <f>I18/K18-1</f>
        <v>9.6284219696895601E-2</v>
      </c>
    </row>
    <row r="21" spans="2:13" x14ac:dyDescent="0.25">
      <c r="B21" s="37" t="s">
        <v>161</v>
      </c>
      <c r="C21" s="10"/>
      <c r="D21" s="10"/>
      <c r="E21" s="10"/>
      <c r="F21" s="10"/>
      <c r="G21" s="10"/>
      <c r="H21" s="10"/>
      <c r="I21" s="10"/>
      <c r="J21" s="10"/>
      <c r="K21" s="10"/>
      <c r="L21" s="9"/>
    </row>
    <row r="22" spans="2:13" x14ac:dyDescent="0.25">
      <c r="B22" s="2" t="s">
        <v>162</v>
      </c>
    </row>
    <row r="23" spans="2:13" x14ac:dyDescent="0.25">
      <c r="B23" s="2" t="s">
        <v>110</v>
      </c>
    </row>
    <row r="24" spans="2:13" x14ac:dyDescent="0.25">
      <c r="B24" s="2" t="s">
        <v>160</v>
      </c>
    </row>
    <row r="25" spans="2:13" x14ac:dyDescent="0.25">
      <c r="B25" s="2" t="s">
        <v>151</v>
      </c>
    </row>
    <row r="26" spans="2:13" x14ac:dyDescent="0.25">
      <c r="B26" s="2" t="s">
        <v>163</v>
      </c>
    </row>
    <row r="27" spans="2:13" x14ac:dyDescent="0.25">
      <c r="B27" s="2" t="s">
        <v>111</v>
      </c>
    </row>
    <row r="28" spans="2:13" x14ac:dyDescent="0.25">
      <c r="B28" s="2" t="s">
        <v>112</v>
      </c>
    </row>
  </sheetData>
  <pageMargins left="0.7" right="0.7" top="0.75" bottom="0.75" header="0.3" footer="0.3"/>
  <pageSetup scale="78" orientation="portrait" verticalDpi="598" r:id="rId1"/>
  <ignoredErrors>
    <ignoredError sqref="C8:M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4" sqref="B4:B8"/>
    </sheetView>
  </sheetViews>
  <sheetFormatPr defaultRowHeight="14.4" x14ac:dyDescent="0.3"/>
  <sheetData>
    <row r="1" spans="1:9" x14ac:dyDescent="0.3">
      <c r="A1" t="s">
        <v>146</v>
      </c>
    </row>
    <row r="2" spans="1:9" ht="15" thickBot="1" x14ac:dyDescent="0.35"/>
    <row r="3" spans="1:9" x14ac:dyDescent="0.3">
      <c r="A3" s="90" t="s">
        <v>63</v>
      </c>
      <c r="B3" s="90"/>
    </row>
    <row r="4" spans="1:9" x14ac:dyDescent="0.3">
      <c r="A4" s="68" t="s">
        <v>64</v>
      </c>
      <c r="B4" s="68">
        <v>0.35122377731968468</v>
      </c>
    </row>
    <row r="5" spans="1:9" x14ac:dyDescent="0.3">
      <c r="A5" s="68" t="s">
        <v>65</v>
      </c>
      <c r="B5" s="68">
        <v>0.12335814175470744</v>
      </c>
    </row>
    <row r="6" spans="1:9" x14ac:dyDescent="0.3">
      <c r="A6" s="68" t="s">
        <v>125</v>
      </c>
      <c r="B6" s="68">
        <v>1.3777909474045863E-2</v>
      </c>
    </row>
    <row r="7" spans="1:9" x14ac:dyDescent="0.3">
      <c r="A7" s="68" t="s">
        <v>126</v>
      </c>
      <c r="B7" s="68">
        <v>6.5942884104944186E-2</v>
      </c>
    </row>
    <row r="8" spans="1:9" ht="15" thickBot="1" x14ac:dyDescent="0.35">
      <c r="A8" s="69" t="s">
        <v>66</v>
      </c>
      <c r="B8" s="69">
        <v>10</v>
      </c>
    </row>
    <row r="10" spans="1:9" ht="15" thickBot="1" x14ac:dyDescent="0.35">
      <c r="A10" t="s">
        <v>67</v>
      </c>
    </row>
    <row r="11" spans="1:9" x14ac:dyDescent="0.3">
      <c r="A11" s="89"/>
      <c r="B11" s="89" t="s">
        <v>71</v>
      </c>
      <c r="C11" s="89" t="s">
        <v>72</v>
      </c>
      <c r="D11" s="89" t="s">
        <v>73</v>
      </c>
      <c r="E11" s="89" t="s">
        <v>74</v>
      </c>
      <c r="F11" s="89" t="s">
        <v>75</v>
      </c>
    </row>
    <row r="12" spans="1:9" x14ac:dyDescent="0.3">
      <c r="A12" s="68" t="s">
        <v>68</v>
      </c>
      <c r="B12" s="68">
        <v>1</v>
      </c>
      <c r="C12" s="68">
        <v>4.8952116903903387E-3</v>
      </c>
      <c r="D12" s="68">
        <v>4.8952116903903387E-3</v>
      </c>
      <c r="E12" s="68">
        <v>1.1257335304670399</v>
      </c>
      <c r="F12" s="68">
        <v>0.31966547142628904</v>
      </c>
    </row>
    <row r="13" spans="1:9" x14ac:dyDescent="0.3">
      <c r="A13" s="68" t="s">
        <v>69</v>
      </c>
      <c r="B13" s="68">
        <v>8</v>
      </c>
      <c r="C13" s="68">
        <v>3.4787711712624798E-2</v>
      </c>
      <c r="D13" s="68">
        <v>4.3484639640780998E-3</v>
      </c>
      <c r="E13" s="68"/>
      <c r="F13" s="68"/>
    </row>
    <row r="14" spans="1:9" ht="15" thickBot="1" x14ac:dyDescent="0.35">
      <c r="A14" s="69" t="s">
        <v>30</v>
      </c>
      <c r="B14" s="69">
        <v>9</v>
      </c>
      <c r="C14" s="69">
        <v>3.9682923403015137E-2</v>
      </c>
      <c r="D14" s="69"/>
      <c r="E14" s="69"/>
      <c r="F14" s="69"/>
    </row>
    <row r="15" spans="1:9" ht="15" thickBot="1" x14ac:dyDescent="0.35"/>
    <row r="16" spans="1:9" x14ac:dyDescent="0.3">
      <c r="A16" s="89"/>
      <c r="B16" s="89" t="s">
        <v>76</v>
      </c>
      <c r="C16" s="89" t="s">
        <v>126</v>
      </c>
      <c r="D16" s="89" t="s">
        <v>127</v>
      </c>
      <c r="E16" s="89" t="s">
        <v>77</v>
      </c>
      <c r="F16" s="89" t="s">
        <v>78</v>
      </c>
      <c r="G16" s="89" t="s">
        <v>79</v>
      </c>
      <c r="H16" s="89" t="s">
        <v>147</v>
      </c>
      <c r="I16" s="89" t="s">
        <v>148</v>
      </c>
    </row>
    <row r="17" spans="1:9" x14ac:dyDescent="0.3">
      <c r="A17" s="68" t="s">
        <v>70</v>
      </c>
      <c r="B17" s="68">
        <v>2.4842747863452228</v>
      </c>
      <c r="C17" s="68">
        <v>0.70964276646970803</v>
      </c>
      <c r="D17" s="68">
        <v>3.500739954983064</v>
      </c>
      <c r="E17" s="68">
        <v>8.070325352812947E-3</v>
      </c>
      <c r="F17" s="68">
        <v>0.84783563234835091</v>
      </c>
      <c r="G17" s="68">
        <v>4.1207139403420943</v>
      </c>
      <c r="H17" s="68">
        <v>0.84783563234835091</v>
      </c>
      <c r="I17" s="68">
        <v>4.1207139403420943</v>
      </c>
    </row>
    <row r="18" spans="1:9" ht="15" thickBot="1" x14ac:dyDescent="0.35">
      <c r="A18" s="69" t="s">
        <v>80</v>
      </c>
      <c r="B18" s="69">
        <v>1.8094892822268777E-5</v>
      </c>
      <c r="C18" s="69">
        <v>1.7054469477331119E-5</v>
      </c>
      <c r="D18" s="69">
        <v>1.0610059050104486</v>
      </c>
      <c r="E18" s="69">
        <v>0.31966547142628882</v>
      </c>
      <c r="F18" s="69">
        <v>-2.1232784316170034E-5</v>
      </c>
      <c r="G18" s="69">
        <v>5.7422569960707584E-5</v>
      </c>
      <c r="H18" s="69">
        <v>-2.1232784316170034E-5</v>
      </c>
      <c r="I18" s="69">
        <v>5.7422569960707584E-5</v>
      </c>
    </row>
    <row r="22" spans="1:9" x14ac:dyDescent="0.3">
      <c r="A22" t="s">
        <v>149</v>
      </c>
    </row>
    <row r="23" spans="1:9" ht="15" thickBot="1" x14ac:dyDescent="0.35"/>
    <row r="24" spans="1:9" x14ac:dyDescent="0.3">
      <c r="A24" s="89" t="s">
        <v>150</v>
      </c>
      <c r="B24" s="89" t="s">
        <v>81</v>
      </c>
      <c r="C24" s="89" t="s">
        <v>82</v>
      </c>
    </row>
    <row r="25" spans="1:9" x14ac:dyDescent="0.3">
      <c r="A25" s="68">
        <v>1</v>
      </c>
      <c r="B25" s="68">
        <v>3.2013572939989121</v>
      </c>
      <c r="C25" s="68">
        <v>4.546049274803643E-2</v>
      </c>
    </row>
    <row r="26" spans="1:9" x14ac:dyDescent="0.3">
      <c r="A26" s="68">
        <v>2</v>
      </c>
      <c r="B26" s="68">
        <v>3.2079619298790405</v>
      </c>
      <c r="C26" s="68">
        <v>5.4103644164675835E-2</v>
      </c>
    </row>
    <row r="27" spans="1:9" x14ac:dyDescent="0.3">
      <c r="A27" s="68">
        <v>3</v>
      </c>
      <c r="B27" s="68">
        <v>3.2145665657591684</v>
      </c>
      <c r="C27" s="68">
        <v>5.292775298386232E-3</v>
      </c>
    </row>
    <row r="28" spans="1:9" x14ac:dyDescent="0.3">
      <c r="A28" s="68">
        <v>4</v>
      </c>
      <c r="B28" s="68">
        <v>3.2294586625518957</v>
      </c>
      <c r="C28" s="68">
        <v>-2.1651874054602338E-2</v>
      </c>
    </row>
    <row r="29" spans="1:9" x14ac:dyDescent="0.3">
      <c r="A29" s="68">
        <v>5</v>
      </c>
      <c r="B29" s="68">
        <v>3.2360632984320237</v>
      </c>
      <c r="C29" s="68">
        <v>-9.2958982474021568E-2</v>
      </c>
    </row>
    <row r="30" spans="1:9" x14ac:dyDescent="0.3">
      <c r="A30" s="68">
        <v>6</v>
      </c>
      <c r="B30" s="68">
        <v>3.2426679343121521</v>
      </c>
      <c r="C30" s="68">
        <v>-0.10459443889040054</v>
      </c>
    </row>
    <row r="31" spans="1:9" x14ac:dyDescent="0.3">
      <c r="A31" s="68">
        <v>7</v>
      </c>
      <c r="B31" s="68">
        <v>3.24927257019228</v>
      </c>
      <c r="C31" s="68">
        <v>-7.2874668622824323E-3</v>
      </c>
    </row>
    <row r="32" spans="1:9" x14ac:dyDescent="0.3">
      <c r="A32" s="68">
        <v>8</v>
      </c>
      <c r="B32" s="68">
        <v>3.2558953009652303</v>
      </c>
      <c r="C32" s="68">
        <v>-5.6642301746911983E-3</v>
      </c>
    </row>
    <row r="33" spans="1:3" x14ac:dyDescent="0.3">
      <c r="A33" s="68">
        <v>9</v>
      </c>
      <c r="B33" s="68">
        <v>3.2624999368453582</v>
      </c>
      <c r="C33" s="68">
        <v>3.6011128077338306E-2</v>
      </c>
    </row>
    <row r="34" spans="1:3" ht="15" thickBot="1" x14ac:dyDescent="0.35">
      <c r="A34" s="69">
        <v>10</v>
      </c>
      <c r="B34" s="69">
        <v>3.2691045727254866</v>
      </c>
      <c r="C34" s="69">
        <v>9.1288952167558168E-2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3"/>
  <sheetViews>
    <sheetView showGridLines="0" tabSelected="1" topLeftCell="A29" zoomScaleNormal="100" workbookViewId="0">
      <selection activeCell="B32" sqref="B32"/>
    </sheetView>
  </sheetViews>
  <sheetFormatPr defaultColWidth="9.109375" defaultRowHeight="13.8" x14ac:dyDescent="0.25"/>
  <cols>
    <col min="1" max="1" width="2.5546875" style="2" customWidth="1"/>
    <col min="2" max="2" width="15.6640625" style="2" customWidth="1"/>
    <col min="3" max="3" width="12.6640625" style="2" customWidth="1"/>
    <col min="4" max="4" width="12.5546875" style="2" customWidth="1"/>
    <col min="5" max="6" width="12.6640625" style="2" customWidth="1"/>
    <col min="7" max="7" width="12.88671875" style="2" customWidth="1"/>
    <col min="8" max="8" width="11.33203125" style="2" customWidth="1"/>
    <col min="9" max="16384" width="9.109375" style="2"/>
  </cols>
  <sheetData>
    <row r="1" spans="2:21" x14ac:dyDescent="0.25">
      <c r="B1" s="1"/>
      <c r="C1" s="1"/>
      <c r="D1" s="1"/>
      <c r="E1" s="1"/>
      <c r="F1" s="1"/>
      <c r="G1" s="1"/>
      <c r="H1" s="1"/>
      <c r="I1" s="38"/>
      <c r="T1" s="38"/>
    </row>
    <row r="2" spans="2:21" x14ac:dyDescent="0.25">
      <c r="B2" s="1"/>
      <c r="C2" s="1"/>
      <c r="D2" s="1"/>
      <c r="E2" s="1"/>
      <c r="F2" s="1"/>
      <c r="G2" s="1"/>
      <c r="H2" s="1"/>
      <c r="J2" s="38" t="s">
        <v>56</v>
      </c>
      <c r="U2" s="38" t="s">
        <v>56</v>
      </c>
    </row>
    <row r="3" spans="2:21" x14ac:dyDescent="0.25">
      <c r="B3" s="1"/>
      <c r="C3" s="1"/>
      <c r="D3" s="1"/>
      <c r="E3" s="1"/>
      <c r="F3" s="1"/>
      <c r="G3" s="1"/>
      <c r="H3" s="1"/>
      <c r="J3" s="38" t="s">
        <v>139</v>
      </c>
      <c r="U3" s="38" t="s">
        <v>139</v>
      </c>
    </row>
    <row r="4" spans="2:21" x14ac:dyDescent="0.25">
      <c r="B4" s="113" t="s">
        <v>165</v>
      </c>
      <c r="C4" s="113"/>
      <c r="D4" s="113"/>
      <c r="E4" s="113"/>
      <c r="F4" s="113"/>
      <c r="G4" s="113"/>
      <c r="H4" s="113"/>
      <c r="J4" s="39" t="s">
        <v>83</v>
      </c>
      <c r="U4" s="39" t="s">
        <v>84</v>
      </c>
    </row>
    <row r="5" spans="2:21" x14ac:dyDescent="0.25">
      <c r="B5" s="1"/>
      <c r="C5" s="1"/>
      <c r="D5" s="1"/>
      <c r="E5" s="1"/>
      <c r="F5" s="1"/>
      <c r="G5" s="1"/>
      <c r="H5" s="1"/>
      <c r="I5" s="1"/>
    </row>
    <row r="6" spans="2:21" x14ac:dyDescent="0.25">
      <c r="B6" s="1"/>
      <c r="C6" s="1"/>
      <c r="D6" s="1"/>
      <c r="E6" s="1"/>
      <c r="F6" s="1"/>
      <c r="G6" s="1"/>
      <c r="H6" s="1"/>
      <c r="I6" s="1"/>
    </row>
    <row r="7" spans="2:21" x14ac:dyDescent="0.25">
      <c r="B7" s="1"/>
      <c r="C7" s="1"/>
      <c r="D7" s="38" t="s">
        <v>61</v>
      </c>
      <c r="E7" s="1"/>
      <c r="F7" s="1"/>
      <c r="G7" s="1"/>
      <c r="H7" s="1"/>
    </row>
    <row r="8" spans="2:21" x14ac:dyDescent="0.25">
      <c r="B8" s="1"/>
      <c r="C8" s="1"/>
      <c r="D8" s="38" t="s">
        <v>62</v>
      </c>
      <c r="E8" s="1"/>
      <c r="F8" s="1"/>
      <c r="G8" s="1"/>
      <c r="H8" s="1"/>
    </row>
    <row r="9" spans="2:21" x14ac:dyDescent="0.25">
      <c r="B9" s="38"/>
      <c r="C9" s="38" t="s">
        <v>58</v>
      </c>
      <c r="D9" s="38" t="s">
        <v>58</v>
      </c>
      <c r="E9" s="1"/>
      <c r="F9" s="1"/>
      <c r="G9" s="1"/>
      <c r="H9" s="38" t="s">
        <v>120</v>
      </c>
    </row>
    <row r="10" spans="2:21" x14ac:dyDescent="0.25">
      <c r="B10" s="40" t="s">
        <v>168</v>
      </c>
      <c r="C10" s="38" t="s">
        <v>59</v>
      </c>
      <c r="D10" s="38" t="s">
        <v>59</v>
      </c>
      <c r="E10" s="1"/>
      <c r="F10" s="1"/>
      <c r="G10" s="1"/>
      <c r="H10" s="38" t="s">
        <v>167</v>
      </c>
    </row>
    <row r="11" spans="2:21" x14ac:dyDescent="0.25">
      <c r="B11" s="41" t="s">
        <v>169</v>
      </c>
      <c r="C11" s="42" t="s">
        <v>60</v>
      </c>
      <c r="D11" s="42" t="s">
        <v>60</v>
      </c>
      <c r="E11" s="44" t="s">
        <v>81</v>
      </c>
      <c r="F11" s="44" t="s">
        <v>82</v>
      </c>
      <c r="G11" s="42" t="s">
        <v>166</v>
      </c>
      <c r="H11" s="42" t="s">
        <v>113</v>
      </c>
    </row>
    <row r="12" spans="2:21" x14ac:dyDescent="0.25">
      <c r="B12" s="45">
        <v>39629</v>
      </c>
      <c r="C12" s="46">
        <v>25.708400000000001</v>
      </c>
      <c r="D12" s="105">
        <f>LN(C12)</f>
        <v>3.2468177867469485</v>
      </c>
      <c r="E12" s="47">
        <v>3.2013572939989121</v>
      </c>
      <c r="F12" s="47">
        <v>4.546049274803643E-2</v>
      </c>
      <c r="G12" s="47">
        <f t="shared" ref="G12:G19" si="0">EXP(E12)</f>
        <v>24.56585066084137</v>
      </c>
      <c r="H12" s="48">
        <f>G13/G12-1</f>
        <v>6.6264945841121303E-3</v>
      </c>
    </row>
    <row r="13" spans="2:21" x14ac:dyDescent="0.25">
      <c r="B13" s="45">
        <v>39994</v>
      </c>
      <c r="C13" s="46">
        <v>26.103400000000001</v>
      </c>
      <c r="D13" s="105">
        <f t="shared" ref="D13:D21" si="1">LN(C13)</f>
        <v>3.2620655740437163</v>
      </c>
      <c r="E13" s="47">
        <v>3.2079619298790405</v>
      </c>
      <c r="F13" s="47">
        <v>5.4103644164675835E-2</v>
      </c>
      <c r="G13" s="47">
        <f t="shared" si="0"/>
        <v>24.72863613719954</v>
      </c>
      <c r="H13" s="48"/>
    </row>
    <row r="14" spans="2:21" x14ac:dyDescent="0.25">
      <c r="B14" s="45">
        <v>40359</v>
      </c>
      <c r="C14" s="46">
        <v>25.0246</v>
      </c>
      <c r="D14" s="105">
        <f t="shared" si="1"/>
        <v>3.2198593410575547</v>
      </c>
      <c r="E14" s="47">
        <v>3.2145665657591684</v>
      </c>
      <c r="F14" s="47">
        <v>5.292775298386232E-3</v>
      </c>
      <c r="G14" s="47">
        <f t="shared" si="0"/>
        <v>24.892500310635157</v>
      </c>
      <c r="H14" s="48"/>
    </row>
    <row r="15" spans="2:21" x14ac:dyDescent="0.25">
      <c r="B15" s="45">
        <v>41182</v>
      </c>
      <c r="C15" s="46">
        <v>24.724799999999998</v>
      </c>
      <c r="D15" s="105">
        <f t="shared" si="1"/>
        <v>3.2078067884972934</v>
      </c>
      <c r="E15" s="47">
        <v>3.2294586625518957</v>
      </c>
      <c r="F15" s="47">
        <v>-2.1651874054602338E-2</v>
      </c>
      <c r="G15" s="47">
        <f t="shared" si="0"/>
        <v>25.265975849355108</v>
      </c>
      <c r="H15" s="48"/>
    </row>
    <row r="16" spans="2:21" x14ac:dyDescent="0.25">
      <c r="B16" s="45">
        <v>41547</v>
      </c>
      <c r="C16" s="49">
        <v>23.175699999999999</v>
      </c>
      <c r="D16" s="105">
        <f t="shared" si="1"/>
        <v>3.1431043159580021</v>
      </c>
      <c r="E16" s="47">
        <v>3.2360632984320237</v>
      </c>
      <c r="F16" s="47">
        <v>-9.2958982474021568E-2</v>
      </c>
      <c r="G16" s="47">
        <f t="shared" si="0"/>
        <v>25.433400701483155</v>
      </c>
      <c r="H16" s="48"/>
    </row>
    <row r="17" spans="2:10" x14ac:dyDescent="0.25">
      <c r="B17" s="45">
        <v>41912</v>
      </c>
      <c r="C17" s="53">
        <v>23.0594</v>
      </c>
      <c r="D17" s="105">
        <f t="shared" si="1"/>
        <v>3.1380734954217515</v>
      </c>
      <c r="E17" s="47">
        <v>3.2426679343121521</v>
      </c>
      <c r="F17" s="47">
        <v>-0.10459443889040054</v>
      </c>
      <c r="G17" s="47">
        <f t="shared" si="0"/>
        <v>25.601934993487081</v>
      </c>
      <c r="H17" s="48"/>
    </row>
    <row r="18" spans="2:10" x14ac:dyDescent="0.25">
      <c r="B18" s="45">
        <v>42277</v>
      </c>
      <c r="C18" s="53">
        <v>25.584459166267578</v>
      </c>
      <c r="D18" s="105">
        <f t="shared" si="1"/>
        <v>3.2419851033299976</v>
      </c>
      <c r="E18" s="47">
        <v>3.24927257019228</v>
      </c>
      <c r="F18" s="47">
        <v>-7.2874668622824323E-3</v>
      </c>
      <c r="G18" s="47">
        <f t="shared" si="0"/>
        <v>25.771586077064196</v>
      </c>
      <c r="H18" s="48"/>
    </row>
    <row r="19" spans="2:10" x14ac:dyDescent="0.25">
      <c r="B19" s="45">
        <v>42643</v>
      </c>
      <c r="C19" s="53">
        <v>25.796299999999999</v>
      </c>
      <c r="D19" s="105">
        <f t="shared" si="1"/>
        <v>3.2502310707905391</v>
      </c>
      <c r="E19" s="47">
        <v>3.2558953009652303</v>
      </c>
      <c r="F19" s="47">
        <v>-5.6642301746911983E-3</v>
      </c>
      <c r="G19" s="47">
        <f t="shared" si="0"/>
        <v>25.942830781123178</v>
      </c>
      <c r="H19" s="1"/>
    </row>
    <row r="20" spans="2:10" x14ac:dyDescent="0.25">
      <c r="B20" s="45">
        <v>43008</v>
      </c>
      <c r="C20" s="53">
        <v>27.072299999999998</v>
      </c>
      <c r="D20" s="105">
        <f t="shared" si="1"/>
        <v>3.2985110649226965</v>
      </c>
      <c r="E20" s="47">
        <v>3.2624999368453582</v>
      </c>
      <c r="F20" s="47">
        <v>3.6011128077338306E-2</v>
      </c>
      <c r="G20" s="47">
        <f>EXP(E20)</f>
        <v>26.11474080879081</v>
      </c>
      <c r="H20" s="1"/>
    </row>
    <row r="21" spans="2:10" ht="14.4" thickBot="1" x14ac:dyDescent="0.3">
      <c r="B21" s="45">
        <v>43373</v>
      </c>
      <c r="C21" s="107">
        <f>'Appendix M SEA 2018'!D29-'Appendix M 2 SEA 2018'!D27</f>
        <v>28.800522371970278</v>
      </c>
      <c r="D21" s="106">
        <f t="shared" si="1"/>
        <v>3.3603935248930448</v>
      </c>
      <c r="E21" s="108">
        <v>3.2691045727254866</v>
      </c>
      <c r="F21" s="108">
        <v>9.1288952167558168E-2</v>
      </c>
      <c r="G21" s="108">
        <f>EXP(E21)</f>
        <v>26.287789997325749</v>
      </c>
      <c r="H21" s="1"/>
    </row>
    <row r="22" spans="2:10" x14ac:dyDescent="0.25">
      <c r="B22" s="1"/>
      <c r="C22" s="1"/>
      <c r="D22" s="1"/>
      <c r="E22" s="1"/>
      <c r="F22" s="1"/>
      <c r="G22" s="1"/>
      <c r="H22" s="1"/>
      <c r="I22" s="1"/>
    </row>
    <row r="23" spans="2:10" x14ac:dyDescent="0.25">
      <c r="B23" s="1"/>
      <c r="C23" s="1"/>
      <c r="D23" s="1"/>
      <c r="E23" s="1"/>
      <c r="F23" s="1"/>
      <c r="G23" s="1"/>
      <c r="H23" s="1"/>
      <c r="I23" s="1"/>
    </row>
    <row r="24" spans="2:10" x14ac:dyDescent="0.25">
      <c r="B24" s="1" t="s">
        <v>67</v>
      </c>
      <c r="C24" s="1"/>
      <c r="D24" s="1"/>
      <c r="E24" s="1"/>
      <c r="F24" s="1"/>
      <c r="G24" s="1"/>
      <c r="H24" s="1"/>
      <c r="I24" s="1"/>
      <c r="J24" s="1"/>
    </row>
    <row r="25" spans="2:10" x14ac:dyDescent="0.25">
      <c r="B25" s="50"/>
      <c r="C25" s="44" t="s">
        <v>71</v>
      </c>
      <c r="D25" s="44" t="s">
        <v>72</v>
      </c>
      <c r="E25" s="44" t="s">
        <v>73</v>
      </c>
      <c r="F25" s="44" t="s">
        <v>74</v>
      </c>
      <c r="G25" s="44" t="s">
        <v>75</v>
      </c>
      <c r="H25" s="1"/>
      <c r="I25" s="1"/>
      <c r="J25" s="1"/>
    </row>
    <row r="26" spans="2:10" x14ac:dyDescent="0.25">
      <c r="B26" s="47" t="s">
        <v>68</v>
      </c>
      <c r="C26" s="47">
        <v>1</v>
      </c>
      <c r="D26" s="47">
        <v>4.8952116903903387E-3</v>
      </c>
      <c r="E26" s="47">
        <v>4.8952116903903387E-3</v>
      </c>
      <c r="F26" s="47">
        <v>1.1257335304670399</v>
      </c>
      <c r="G26" s="47">
        <v>0.31966547142628904</v>
      </c>
      <c r="H26" s="1"/>
      <c r="I26" s="1"/>
      <c r="J26" s="1"/>
    </row>
    <row r="27" spans="2:10" x14ac:dyDescent="0.25">
      <c r="B27" s="47" t="s">
        <v>69</v>
      </c>
      <c r="C27" s="47">
        <v>8</v>
      </c>
      <c r="D27" s="47">
        <v>3.4787711712624798E-2</v>
      </c>
      <c r="E27" s="47">
        <v>4.3484639640780998E-3</v>
      </c>
      <c r="F27" s="47"/>
      <c r="G27" s="47"/>
      <c r="H27" s="1"/>
      <c r="I27" s="43"/>
      <c r="J27" s="1"/>
    </row>
    <row r="28" spans="2:10" ht="14.4" thickBot="1" x14ac:dyDescent="0.3">
      <c r="B28" s="108" t="s">
        <v>30</v>
      </c>
      <c r="C28" s="108">
        <v>9</v>
      </c>
      <c r="D28" s="108">
        <v>3.9682923403015137E-2</v>
      </c>
      <c r="E28" s="108"/>
      <c r="F28" s="108"/>
      <c r="G28" s="108"/>
      <c r="H28" s="1"/>
      <c r="I28" s="47"/>
      <c r="J28" s="1"/>
    </row>
    <row r="29" spans="2:10" x14ac:dyDescent="0.25">
      <c r="B29" s="1"/>
      <c r="C29" s="1"/>
      <c r="D29" s="1"/>
      <c r="E29" s="1"/>
      <c r="F29" s="1"/>
      <c r="G29" s="1"/>
      <c r="H29" s="1"/>
      <c r="I29" s="47"/>
      <c r="J29" s="1"/>
    </row>
    <row r="30" spans="2:10" x14ac:dyDescent="0.25">
      <c r="B30" s="50"/>
      <c r="C30" s="44" t="s">
        <v>76</v>
      </c>
      <c r="D30" s="44" t="s">
        <v>128</v>
      </c>
      <c r="E30" s="44" t="s">
        <v>127</v>
      </c>
      <c r="F30" s="44" t="s">
        <v>77</v>
      </c>
      <c r="G30" s="44" t="s">
        <v>78</v>
      </c>
      <c r="H30" s="44" t="s">
        <v>79</v>
      </c>
      <c r="I30" s="1"/>
      <c r="J30" s="1"/>
    </row>
    <row r="31" spans="2:10" x14ac:dyDescent="0.25">
      <c r="B31" s="47" t="s">
        <v>70</v>
      </c>
      <c r="C31" s="47">
        <v>2.4842747863452228</v>
      </c>
      <c r="D31" s="47">
        <v>0.70964276646970803</v>
      </c>
      <c r="E31" s="47">
        <v>3.500739954983064</v>
      </c>
      <c r="F31" s="47">
        <v>8.070325352812947E-3</v>
      </c>
      <c r="G31" s="47">
        <v>0.84783563234835091</v>
      </c>
      <c r="H31" s="47">
        <v>4.1207139403420943</v>
      </c>
      <c r="I31" s="1"/>
      <c r="J31" s="1"/>
    </row>
    <row r="32" spans="2:10" ht="14.4" thickBot="1" x14ac:dyDescent="0.3">
      <c r="B32" s="108" t="s">
        <v>80</v>
      </c>
      <c r="C32" s="108">
        <v>1.8094892822268777E-5</v>
      </c>
      <c r="D32" s="108">
        <v>1.7054469477331119E-5</v>
      </c>
      <c r="E32" s="108">
        <v>1.0610059050104486</v>
      </c>
      <c r="F32" s="108">
        <v>0.31966547142628882</v>
      </c>
      <c r="G32" s="108">
        <v>-2.1232784316170034E-5</v>
      </c>
      <c r="H32" s="108">
        <v>5.7422569960707584E-5</v>
      </c>
      <c r="I32" s="1"/>
      <c r="J32" s="1"/>
    </row>
    <row r="33" spans="2:10" x14ac:dyDescent="0.25">
      <c r="B33" s="51"/>
      <c r="C33" s="52"/>
      <c r="D33" s="52"/>
      <c r="E33" s="1"/>
      <c r="F33" s="1"/>
      <c r="G33" s="1"/>
      <c r="H33" s="1"/>
      <c r="I33" s="1"/>
      <c r="J33" s="1"/>
    </row>
    <row r="34" spans="2:10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x14ac:dyDescent="0.25">
      <c r="B35" s="2" t="s">
        <v>149</v>
      </c>
      <c r="D35" s="1"/>
      <c r="E35" s="1"/>
      <c r="F35" s="1"/>
      <c r="G35" s="1"/>
      <c r="H35" s="1"/>
      <c r="I35" s="1"/>
      <c r="J35" s="1"/>
    </row>
    <row r="36" spans="2:10" ht="14.4" thickBot="1" x14ac:dyDescent="0.3">
      <c r="B36" s="1"/>
      <c r="C36" s="1"/>
      <c r="D36" s="1"/>
      <c r="E36" s="1"/>
      <c r="F36" s="1"/>
      <c r="G36" s="1"/>
      <c r="H36" s="1"/>
      <c r="I36" s="1"/>
      <c r="J36" s="1"/>
    </row>
    <row r="37" spans="2:10" x14ac:dyDescent="0.25">
      <c r="B37" s="109" t="s">
        <v>63</v>
      </c>
      <c r="C37" s="109"/>
      <c r="D37" s="1"/>
      <c r="E37" s="1"/>
      <c r="F37" s="1"/>
      <c r="G37" s="1"/>
      <c r="H37" s="47"/>
      <c r="I37" s="1"/>
      <c r="J37" s="1"/>
    </row>
    <row r="38" spans="2:10" x14ac:dyDescent="0.25">
      <c r="B38" s="47" t="s">
        <v>64</v>
      </c>
      <c r="C38" s="47">
        <v>0.35122377731968468</v>
      </c>
      <c r="D38" s="1"/>
      <c r="E38" s="1"/>
      <c r="F38" s="1"/>
      <c r="G38" s="1"/>
      <c r="H38" s="47"/>
      <c r="I38" s="1"/>
      <c r="J38" s="1"/>
    </row>
    <row r="39" spans="2:10" x14ac:dyDescent="0.25">
      <c r="B39" s="47" t="s">
        <v>65</v>
      </c>
      <c r="C39" s="47">
        <v>0.12335814175470744</v>
      </c>
      <c r="D39" s="1"/>
      <c r="E39" s="1"/>
      <c r="F39" s="1"/>
      <c r="G39" s="1"/>
      <c r="H39" s="47"/>
      <c r="I39" s="1"/>
      <c r="J39" s="1"/>
    </row>
    <row r="40" spans="2:10" x14ac:dyDescent="0.25">
      <c r="B40" s="47" t="s">
        <v>125</v>
      </c>
      <c r="C40" s="47">
        <v>1.3777909474045863E-2</v>
      </c>
      <c r="D40" s="1"/>
      <c r="E40" s="1"/>
      <c r="F40" s="1"/>
      <c r="G40" s="1"/>
      <c r="H40" s="47"/>
      <c r="I40" s="1"/>
      <c r="J40" s="1"/>
    </row>
    <row r="41" spans="2:10" x14ac:dyDescent="0.25">
      <c r="B41" s="47" t="s">
        <v>126</v>
      </c>
      <c r="C41" s="47">
        <v>6.5942884104944186E-2</v>
      </c>
      <c r="D41" s="1"/>
      <c r="E41" s="1"/>
      <c r="F41" s="1"/>
      <c r="G41" s="1"/>
      <c r="H41" s="47"/>
      <c r="I41" s="1"/>
      <c r="J41" s="1"/>
    </row>
    <row r="42" spans="2:10" ht="14.4" thickBot="1" x14ac:dyDescent="0.3">
      <c r="B42" s="108" t="s">
        <v>66</v>
      </c>
      <c r="C42" s="108">
        <v>10</v>
      </c>
      <c r="G42" s="1"/>
      <c r="H42" s="1"/>
      <c r="I42" s="1"/>
    </row>
    <row r="43" spans="2:10" x14ac:dyDescent="0.25">
      <c r="B43" s="1"/>
      <c r="G43" s="1"/>
      <c r="H43" s="1"/>
      <c r="I43" s="1"/>
    </row>
  </sheetData>
  <mergeCells count="1">
    <mergeCell ref="B4:H4"/>
  </mergeCells>
  <pageMargins left="0.2" right="0.2" top="0.75" bottom="0.75" header="0.3" footer="0.3"/>
  <pageSetup orientation="portrait" verticalDpi="598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tabSelected="1" topLeftCell="A60" zoomScale="115" zoomScaleNormal="115" workbookViewId="0">
      <selection activeCell="B32" sqref="B32"/>
    </sheetView>
  </sheetViews>
  <sheetFormatPr defaultColWidth="9.109375" defaultRowHeight="10.199999999999999" outlineLevelRow="1" x14ac:dyDescent="0.2"/>
  <cols>
    <col min="1" max="1" width="2.6640625" style="23" bestFit="1" customWidth="1"/>
    <col min="2" max="2" width="1.5546875" style="23" bestFit="1" customWidth="1"/>
    <col min="3" max="3" width="25.5546875" style="23" customWidth="1"/>
    <col min="4" max="4" width="11.33203125" style="24" bestFit="1" customWidth="1"/>
    <col min="5" max="6" width="9.109375" style="21" customWidth="1"/>
    <col min="7" max="8" width="8.6640625" style="21" bestFit="1" customWidth="1"/>
    <col min="9" max="10" width="8.6640625" style="21" customWidth="1"/>
    <col min="11" max="11" width="8.6640625" style="23" bestFit="1" customWidth="1"/>
    <col min="12" max="12" width="8.6640625" style="23" customWidth="1"/>
    <col min="13" max="13" width="8.6640625" style="23" bestFit="1" customWidth="1"/>
    <col min="14" max="16384" width="9.109375" style="23"/>
  </cols>
  <sheetData>
    <row r="1" spans="1:24" x14ac:dyDescent="0.2">
      <c r="M1" s="25"/>
    </row>
    <row r="2" spans="1:24" x14ac:dyDescent="0.2">
      <c r="L2" s="25"/>
      <c r="M2" s="25" t="s">
        <v>56</v>
      </c>
    </row>
    <row r="3" spans="1:24" x14ac:dyDescent="0.2">
      <c r="L3" s="25"/>
      <c r="M3" s="25" t="s">
        <v>140</v>
      </c>
    </row>
    <row r="4" spans="1:24" x14ac:dyDescent="0.2">
      <c r="L4" s="25"/>
      <c r="M4" s="25" t="s">
        <v>83</v>
      </c>
    </row>
    <row r="6" spans="1:24" ht="10.199999999999999" customHeight="1" x14ac:dyDescent="0.2">
      <c r="E6" s="114" t="s">
        <v>156</v>
      </c>
      <c r="F6" s="114"/>
      <c r="G6" s="114"/>
      <c r="H6" s="114"/>
      <c r="I6" s="114"/>
      <c r="J6" s="114"/>
      <c r="K6" s="114"/>
      <c r="L6" s="114"/>
      <c r="M6" s="114"/>
    </row>
    <row r="8" spans="1:24" x14ac:dyDescent="0.2">
      <c r="E8" s="25" t="s">
        <v>154</v>
      </c>
      <c r="F8" s="25" t="s">
        <v>51</v>
      </c>
      <c r="G8" s="25" t="s">
        <v>51</v>
      </c>
      <c r="H8" s="25" t="s">
        <v>51</v>
      </c>
      <c r="I8" s="25" t="s">
        <v>53</v>
      </c>
      <c r="J8" s="25" t="s">
        <v>142</v>
      </c>
      <c r="K8" s="25" t="s">
        <v>49</v>
      </c>
      <c r="L8" s="25" t="s">
        <v>118</v>
      </c>
      <c r="M8" s="25" t="s">
        <v>118</v>
      </c>
    </row>
    <row r="9" spans="1:24" x14ac:dyDescent="0.2">
      <c r="C9" s="26" t="s">
        <v>29</v>
      </c>
      <c r="D9" s="27" t="s">
        <v>30</v>
      </c>
      <c r="E9" s="24" t="s">
        <v>132</v>
      </c>
      <c r="F9" s="24" t="s">
        <v>52</v>
      </c>
      <c r="G9" s="24" t="s">
        <v>52</v>
      </c>
      <c r="H9" s="24" t="s">
        <v>52</v>
      </c>
      <c r="I9" s="24" t="s">
        <v>54</v>
      </c>
      <c r="J9" s="24" t="s">
        <v>137</v>
      </c>
      <c r="K9" s="24" t="s">
        <v>50</v>
      </c>
      <c r="L9" s="24" t="s">
        <v>48</v>
      </c>
      <c r="M9" s="24" t="s">
        <v>48</v>
      </c>
    </row>
    <row r="10" spans="1:24" outlineLevel="1" x14ac:dyDescent="0.2">
      <c r="A10" s="23">
        <v>1</v>
      </c>
      <c r="B10" s="23" t="s">
        <v>28</v>
      </c>
      <c r="C10" s="23" t="s">
        <v>0</v>
      </c>
      <c r="E10" s="84">
        <v>706698</v>
      </c>
      <c r="F10" s="103">
        <v>2176046</v>
      </c>
      <c r="G10" s="103">
        <v>2176046</v>
      </c>
      <c r="H10" s="103">
        <v>2176046</v>
      </c>
      <c r="I10" s="84">
        <v>393193</v>
      </c>
      <c r="J10" s="103">
        <v>1826805</v>
      </c>
      <c r="K10" s="84">
        <v>307442</v>
      </c>
      <c r="L10" s="84">
        <v>1175046</v>
      </c>
      <c r="M10" s="84">
        <v>1175046</v>
      </c>
    </row>
    <row r="11" spans="1:24" outlineLevel="1" x14ac:dyDescent="0.2">
      <c r="A11" s="23">
        <v>2</v>
      </c>
      <c r="B11" s="23" t="s">
        <v>28</v>
      </c>
      <c r="C11" s="23" t="s">
        <v>1</v>
      </c>
      <c r="E11" s="84">
        <v>756194</v>
      </c>
      <c r="F11" s="84">
        <v>5479469</v>
      </c>
      <c r="G11" s="84">
        <v>5479469</v>
      </c>
      <c r="H11" s="84">
        <v>5479469</v>
      </c>
      <c r="I11" s="84">
        <v>3168445</v>
      </c>
      <c r="J11" s="103">
        <v>2670211</v>
      </c>
      <c r="K11" s="84">
        <v>1648735</v>
      </c>
      <c r="L11" s="84">
        <v>5834927</v>
      </c>
      <c r="M11" s="84">
        <v>5834927</v>
      </c>
    </row>
    <row r="12" spans="1:24" outlineLevel="1" x14ac:dyDescent="0.2">
      <c r="A12" s="23">
        <v>3</v>
      </c>
      <c r="B12" s="23" t="s">
        <v>28</v>
      </c>
      <c r="C12" s="23" t="s">
        <v>2</v>
      </c>
      <c r="E12" s="84">
        <v>1285420</v>
      </c>
      <c r="F12" s="84">
        <v>5208496</v>
      </c>
      <c r="G12" s="84">
        <v>5208496</v>
      </c>
      <c r="H12" s="84">
        <v>5208496</v>
      </c>
      <c r="I12" s="84">
        <f>393193+801733</f>
        <v>1194926</v>
      </c>
      <c r="J12" s="103">
        <f>1826805+597646</f>
        <v>2424451</v>
      </c>
      <c r="K12" s="84">
        <f>617178+307442</f>
        <v>924620</v>
      </c>
      <c r="L12" s="84">
        <f>2186082+1175046</f>
        <v>3361128</v>
      </c>
      <c r="M12" s="84">
        <f>2186082+1175046</f>
        <v>3361128</v>
      </c>
    </row>
    <row r="13" spans="1:24" s="22" customFormat="1" outlineLevel="1" x14ac:dyDescent="0.2">
      <c r="A13" s="28">
        <v>4</v>
      </c>
      <c r="B13" s="22" t="s">
        <v>28</v>
      </c>
      <c r="C13" s="22" t="s">
        <v>3</v>
      </c>
      <c r="D13" s="31"/>
      <c r="E13" s="22">
        <f t="shared" ref="E13:M13" si="0">E10/((E11+E12)-E10)</f>
        <v>0.5293951080067959</v>
      </c>
      <c r="F13" s="22">
        <f t="shared" si="0"/>
        <v>0.25564693461016252</v>
      </c>
      <c r="G13" s="22">
        <f t="shared" si="0"/>
        <v>0.25564693461016252</v>
      </c>
      <c r="H13" s="22">
        <f t="shared" si="0"/>
        <v>0.25564693461016252</v>
      </c>
      <c r="I13" s="22">
        <f t="shared" si="0"/>
        <v>9.9036617501784552E-2</v>
      </c>
      <c r="J13" s="104">
        <f t="shared" si="0"/>
        <v>0.5590223195201014</v>
      </c>
      <c r="K13" s="22">
        <f t="shared" si="0"/>
        <v>0.13568129049967939</v>
      </c>
      <c r="L13" s="22">
        <f t="shared" si="0"/>
        <v>0.14649603310506196</v>
      </c>
      <c r="M13" s="22">
        <f t="shared" si="0"/>
        <v>0.14649603310506196</v>
      </c>
    </row>
    <row r="14" spans="1:24" s="22" customFormat="1" ht="13.8" outlineLevel="1" x14ac:dyDescent="0.25">
      <c r="A14" s="28">
        <v>5</v>
      </c>
      <c r="B14" s="22" t="s">
        <v>28</v>
      </c>
      <c r="C14" s="22" t="s">
        <v>33</v>
      </c>
      <c r="D14" s="31"/>
      <c r="E14" s="22">
        <v>9.4600000000000004E-2</v>
      </c>
      <c r="F14" s="22">
        <v>9.4600000000000004E-2</v>
      </c>
      <c r="G14" s="22">
        <v>9.4600000000000004E-2</v>
      </c>
      <c r="H14" s="22">
        <v>9.4600000000000004E-2</v>
      </c>
      <c r="I14" s="22">
        <v>9.4600000000000004E-2</v>
      </c>
      <c r="J14" s="22">
        <v>9.4600000000000004E-2</v>
      </c>
      <c r="K14" s="22">
        <v>9.4600000000000004E-2</v>
      </c>
      <c r="L14" s="22">
        <v>9.4600000000000004E-2</v>
      </c>
      <c r="M14" s="22">
        <v>9.4600000000000004E-2</v>
      </c>
      <c r="P14" s="16"/>
      <c r="Q14" s="16"/>
      <c r="R14" s="16"/>
      <c r="S14" s="16"/>
      <c r="T14" s="16"/>
      <c r="U14" s="16"/>
      <c r="V14" s="16"/>
      <c r="W14" s="16"/>
      <c r="X14" s="16"/>
    </row>
    <row r="15" spans="1:24" s="19" customFormat="1" outlineLevel="1" x14ac:dyDescent="0.2">
      <c r="A15" s="19">
        <v>6</v>
      </c>
      <c r="B15" s="19" t="s">
        <v>28</v>
      </c>
      <c r="C15" s="19" t="s">
        <v>34</v>
      </c>
      <c r="D15" s="32"/>
      <c r="E15" s="85">
        <v>3330</v>
      </c>
      <c r="F15" s="85">
        <v>52740</v>
      </c>
      <c r="G15" s="85">
        <v>52740</v>
      </c>
      <c r="H15" s="85">
        <v>52740</v>
      </c>
      <c r="I15" s="85">
        <v>6371</v>
      </c>
      <c r="J15" s="85">
        <v>18088</v>
      </c>
      <c r="K15" s="85">
        <v>3670</v>
      </c>
      <c r="L15" s="85">
        <v>3670</v>
      </c>
      <c r="M15" s="85">
        <v>3670</v>
      </c>
    </row>
    <row r="16" spans="1:24" s="19" customFormat="1" outlineLevel="1" x14ac:dyDescent="0.2">
      <c r="A16" s="19">
        <v>7</v>
      </c>
      <c r="B16" s="19" t="s">
        <v>28</v>
      </c>
      <c r="C16" s="19" t="s">
        <v>35</v>
      </c>
      <c r="D16" s="32"/>
      <c r="E16" s="85">
        <v>3329</v>
      </c>
      <c r="F16" s="85">
        <v>50763</v>
      </c>
      <c r="G16" s="85">
        <v>50763</v>
      </c>
      <c r="H16" s="85">
        <v>50763</v>
      </c>
      <c r="I16" s="85">
        <v>5829</v>
      </c>
      <c r="J16" s="85">
        <v>18076</v>
      </c>
      <c r="K16" s="85">
        <v>3451</v>
      </c>
      <c r="L16" s="85">
        <v>3451</v>
      </c>
      <c r="M16" s="85">
        <v>3451</v>
      </c>
    </row>
    <row r="17" spans="1:13" outlineLevel="1" x14ac:dyDescent="0.2">
      <c r="A17" s="23">
        <v>8</v>
      </c>
      <c r="B17" s="23" t="s">
        <v>28</v>
      </c>
      <c r="C17" s="23" t="s">
        <v>4</v>
      </c>
      <c r="E17" s="22">
        <f t="shared" ref="E17:M17" si="1">E15/E16-1</f>
        <v>3.0039050765995334E-4</v>
      </c>
      <c r="F17" s="22">
        <f t="shared" si="1"/>
        <v>3.894568878907867E-2</v>
      </c>
      <c r="G17" s="22">
        <f t="shared" si="1"/>
        <v>3.894568878907867E-2</v>
      </c>
      <c r="H17" s="22">
        <f t="shared" si="1"/>
        <v>3.894568878907867E-2</v>
      </c>
      <c r="I17" s="22">
        <f t="shared" si="1"/>
        <v>9.2983359066735272E-2</v>
      </c>
      <c r="J17" s="22">
        <f t="shared" si="1"/>
        <v>6.6386368665627415E-4</v>
      </c>
      <c r="K17" s="22">
        <f t="shared" si="1"/>
        <v>6.3459866705302792E-2</v>
      </c>
      <c r="L17" s="22">
        <f t="shared" si="1"/>
        <v>6.3459866705302792E-2</v>
      </c>
      <c r="M17" s="22">
        <f t="shared" si="1"/>
        <v>6.3459866705302792E-2</v>
      </c>
    </row>
    <row r="18" spans="1:13" x14ac:dyDescent="0.2">
      <c r="K18" s="21"/>
      <c r="L18" s="21"/>
      <c r="M18" s="21"/>
    </row>
    <row r="19" spans="1:13" x14ac:dyDescent="0.2">
      <c r="C19" s="23" t="s">
        <v>5</v>
      </c>
      <c r="E19" s="25" t="s">
        <v>145</v>
      </c>
      <c r="F19" s="25" t="s">
        <v>145</v>
      </c>
      <c r="G19" s="25" t="s">
        <v>55</v>
      </c>
      <c r="H19" s="25" t="s">
        <v>133</v>
      </c>
      <c r="I19" s="25" t="s">
        <v>55</v>
      </c>
      <c r="J19" s="25" t="s">
        <v>143</v>
      </c>
      <c r="K19" s="25" t="s">
        <v>55</v>
      </c>
      <c r="L19" s="25" t="s">
        <v>55</v>
      </c>
      <c r="M19" s="25" t="s">
        <v>144</v>
      </c>
    </row>
    <row r="20" spans="1:13" s="19" customFormat="1" x14ac:dyDescent="0.2">
      <c r="C20" s="20" t="s">
        <v>11</v>
      </c>
      <c r="D20" s="33"/>
      <c r="E20" s="20">
        <v>35</v>
      </c>
      <c r="F20" s="20">
        <v>35</v>
      </c>
      <c r="G20" s="20">
        <v>40</v>
      </c>
      <c r="H20" s="20">
        <v>416</v>
      </c>
      <c r="I20" s="20">
        <v>40</v>
      </c>
      <c r="J20" s="20">
        <v>415</v>
      </c>
      <c r="K20" s="20">
        <v>40</v>
      </c>
      <c r="L20" s="20">
        <v>40</v>
      </c>
      <c r="M20" s="20">
        <v>42</v>
      </c>
    </row>
    <row r="21" spans="1:13" outlineLevel="1" x14ac:dyDescent="0.2">
      <c r="A21" s="23">
        <v>9</v>
      </c>
      <c r="B21" s="23" t="s">
        <v>28</v>
      </c>
      <c r="C21" s="23" t="s">
        <v>1</v>
      </c>
      <c r="D21" s="25"/>
      <c r="E21" s="84">
        <v>37451</v>
      </c>
      <c r="F21" s="84">
        <v>444718</v>
      </c>
      <c r="G21" s="84">
        <v>764164</v>
      </c>
      <c r="H21" s="84">
        <v>652402</v>
      </c>
      <c r="I21" s="84">
        <v>694067</v>
      </c>
      <c r="J21" s="84">
        <v>222526</v>
      </c>
      <c r="K21" s="84">
        <v>1507246</v>
      </c>
      <c r="L21" s="84">
        <v>4240699</v>
      </c>
      <c r="M21" s="84">
        <v>1507013</v>
      </c>
    </row>
    <row r="22" spans="1:13" s="26" customFormat="1" outlineLevel="1" x14ac:dyDescent="0.2">
      <c r="A22" s="23">
        <v>10</v>
      </c>
      <c r="B22" s="23" t="s">
        <v>28</v>
      </c>
      <c r="C22" s="26" t="s">
        <v>6</v>
      </c>
      <c r="D22" s="34"/>
      <c r="E22" s="86">
        <v>8267</v>
      </c>
      <c r="F22" s="86">
        <v>17349</v>
      </c>
      <c r="G22" s="86">
        <v>23035</v>
      </c>
      <c r="H22" s="86">
        <v>3322</v>
      </c>
      <c r="I22" s="86">
        <v>16282</v>
      </c>
      <c r="J22" s="86">
        <v>3559</v>
      </c>
      <c r="K22" s="86">
        <v>35051</v>
      </c>
      <c r="L22" s="86">
        <v>52564</v>
      </c>
      <c r="M22" s="86">
        <v>22188</v>
      </c>
    </row>
    <row r="23" spans="1:13" outlineLevel="1" x14ac:dyDescent="0.2">
      <c r="A23" s="23">
        <v>11</v>
      </c>
      <c r="B23" s="23" t="s">
        <v>28</v>
      </c>
      <c r="C23" s="23" t="s">
        <v>7</v>
      </c>
      <c r="D23" s="25"/>
      <c r="E23" s="21">
        <f>E21-E22</f>
        <v>29184</v>
      </c>
      <c r="F23" s="21">
        <f>F21-F22</f>
        <v>427369</v>
      </c>
      <c r="G23" s="21">
        <f t="shared" ref="G23:M23" si="2">G21-G22</f>
        <v>741129</v>
      </c>
      <c r="H23" s="21">
        <f t="shared" si="2"/>
        <v>649080</v>
      </c>
      <c r="I23" s="21">
        <f>I21-I22</f>
        <v>677785</v>
      </c>
      <c r="J23" s="21">
        <f>J21-J22</f>
        <v>218967</v>
      </c>
      <c r="K23" s="21">
        <f t="shared" si="2"/>
        <v>1472195</v>
      </c>
      <c r="L23" s="21">
        <f>L21-L22</f>
        <v>4188135</v>
      </c>
      <c r="M23" s="21">
        <f t="shared" si="2"/>
        <v>1484825</v>
      </c>
    </row>
    <row r="24" spans="1:13" outlineLevel="1" x14ac:dyDescent="0.2">
      <c r="A24" s="23">
        <v>12</v>
      </c>
      <c r="B24" s="23" t="s">
        <v>28</v>
      </c>
      <c r="C24" s="23" t="s">
        <v>31</v>
      </c>
      <c r="D24" s="25"/>
      <c r="E24" s="29">
        <f>E23/E32</f>
        <v>411.04225352112678</v>
      </c>
      <c r="F24" s="29">
        <f>F23/F32</f>
        <v>402.41902071563089</v>
      </c>
      <c r="G24" s="29">
        <f t="shared" ref="G24:M24" si="3">G23/G32</f>
        <v>427.41003460207611</v>
      </c>
      <c r="H24" s="29">
        <f t="shared" si="3"/>
        <v>679.66492146596863</v>
      </c>
      <c r="I24" s="29">
        <f>I23/I32</f>
        <v>918.40785907859083</v>
      </c>
      <c r="J24" s="29">
        <f>J23/J32</f>
        <v>802.07692307692309</v>
      </c>
      <c r="K24" s="29">
        <f t="shared" si="3"/>
        <v>426.72318840579709</v>
      </c>
      <c r="L24" s="29">
        <f>L23/L32</f>
        <v>769.87775735294122</v>
      </c>
      <c r="M24" s="29">
        <f t="shared" si="3"/>
        <v>1331.6816143497758</v>
      </c>
    </row>
    <row r="25" spans="1:13" outlineLevel="1" x14ac:dyDescent="0.2">
      <c r="A25" s="23">
        <v>13</v>
      </c>
      <c r="B25" s="23" t="s">
        <v>28</v>
      </c>
      <c r="C25" s="23" t="s">
        <v>8</v>
      </c>
      <c r="D25" s="25"/>
      <c r="E25" s="21">
        <f>E23*(1+E13)*(1+E14)*(1+E17)</f>
        <v>48870.906582306809</v>
      </c>
      <c r="F25" s="21">
        <f>F23*(1+F13)*(1+F14)*(1+F17)</f>
        <v>610265.53887463268</v>
      </c>
      <c r="G25" s="21">
        <f t="shared" ref="G25:M25" si="4">G23*(1+G13)*(1+G14)*(1+G17)</f>
        <v>1058302.049424777</v>
      </c>
      <c r="H25" s="21">
        <f t="shared" si="4"/>
        <v>926859.82364829117</v>
      </c>
      <c r="I25" s="21">
        <f>I23*(1+I13)*(1+I14)*(1+I17)</f>
        <v>891195.75515861146</v>
      </c>
      <c r="J25" s="21">
        <f>J23*(1+J13)*(1+J14)*(1+J17)</f>
        <v>373916.52720786637</v>
      </c>
      <c r="K25" s="21">
        <f t="shared" si="4"/>
        <v>1946248.8024142054</v>
      </c>
      <c r="L25" s="21">
        <f>L23*(1+L13)*(1+L14)*(1+L17)</f>
        <v>5589459.033035351</v>
      </c>
      <c r="M25" s="21">
        <f t="shared" si="4"/>
        <v>1981638.24917934</v>
      </c>
    </row>
    <row r="26" spans="1:13" outlineLevel="1" x14ac:dyDescent="0.2">
      <c r="A26" s="23">
        <v>14</v>
      </c>
      <c r="B26" s="23" t="s">
        <v>28</v>
      </c>
      <c r="C26" s="23" t="s">
        <v>32</v>
      </c>
      <c r="D26" s="25"/>
      <c r="E26" s="21">
        <f>E25*E48/E32</f>
        <v>384577.31967378128</v>
      </c>
      <c r="F26" s="21">
        <f>F25*F48/F32</f>
        <v>960631.89111167693</v>
      </c>
      <c r="G26" s="21">
        <f t="shared" ref="G26:M26" si="5">G25*G48/G32</f>
        <v>449686.82238533773</v>
      </c>
      <c r="H26" s="21">
        <f t="shared" si="5"/>
        <v>390850.09094894177</v>
      </c>
      <c r="I26" s="21">
        <f>I25*I48/I32</f>
        <v>182787.71514430124</v>
      </c>
      <c r="J26" s="21">
        <f>J25*J48/J32</f>
        <v>4198548.5162563613</v>
      </c>
      <c r="K26" s="21">
        <f t="shared" si="5"/>
        <v>1327840.0752550296</v>
      </c>
      <c r="L26" s="21">
        <f>L25*L48/L32</f>
        <v>797679.58960546274</v>
      </c>
      <c r="M26" s="21">
        <f t="shared" si="5"/>
        <v>439692.91488135111</v>
      </c>
    </row>
    <row r="27" spans="1:13" outlineLevel="1" x14ac:dyDescent="0.2">
      <c r="A27" s="23">
        <v>15</v>
      </c>
      <c r="B27" s="23" t="s">
        <v>28</v>
      </c>
      <c r="C27" s="23" t="s">
        <v>36</v>
      </c>
      <c r="D27" s="30"/>
      <c r="E27" s="30">
        <f>E26/E52</f>
        <v>40.577425674098073</v>
      </c>
      <c r="F27" s="30">
        <f>F26/F52</f>
        <v>26.656435694430442</v>
      </c>
      <c r="G27" s="30">
        <f t="shared" ref="G27:M27" si="6">G26/G52</f>
        <v>11.89110089618347</v>
      </c>
      <c r="H27" s="30">
        <f t="shared" si="6"/>
        <v>64.333983406361256</v>
      </c>
      <c r="I27" s="30">
        <f>I26/I52</f>
        <v>22.320081112853085</v>
      </c>
      <c r="J27" s="30">
        <f>J26/J52</f>
        <v>74.192662329873258</v>
      </c>
      <c r="K27" s="30">
        <f t="shared" si="6"/>
        <v>28.685735217111638</v>
      </c>
      <c r="L27" s="30">
        <f>L26/L52</f>
        <v>22.34064527111347</v>
      </c>
      <c r="M27" s="30">
        <f t="shared" si="6"/>
        <v>41.056057326772113</v>
      </c>
    </row>
    <row r="28" spans="1:13" outlineLevel="1" x14ac:dyDescent="0.2">
      <c r="A28" s="23">
        <v>16</v>
      </c>
      <c r="B28" s="23" t="s">
        <v>28</v>
      </c>
      <c r="C28" s="23" t="s">
        <v>9</v>
      </c>
      <c r="D28" s="31">
        <f>SUM(E28:M28)</f>
        <v>1</v>
      </c>
      <c r="E28" s="35">
        <f>E51/$D51</f>
        <v>3.5801966455136829E-2</v>
      </c>
      <c r="F28" s="35">
        <f>F51/$D51</f>
        <v>7.5687905432742134E-2</v>
      </c>
      <c r="G28" s="35">
        <f t="shared" ref="G28:M28" si="7">G51/$D51</f>
        <v>7.220618292330909E-2</v>
      </c>
      <c r="H28" s="35">
        <f t="shared" si="7"/>
        <v>2.7601675418845003E-2</v>
      </c>
      <c r="I28" s="35">
        <f>I51/$D51</f>
        <v>1.1294832029207651E-2</v>
      </c>
      <c r="J28" s="35">
        <f>J51/$D51</f>
        <v>0.13414778598805294</v>
      </c>
      <c r="K28" s="35">
        <f t="shared" si="7"/>
        <v>0.36120542123990473</v>
      </c>
      <c r="L28" s="35">
        <f>L51/$D51</f>
        <v>0.19824293663821377</v>
      </c>
      <c r="M28" s="35">
        <f t="shared" si="7"/>
        <v>8.3811293874587897E-2</v>
      </c>
    </row>
    <row r="29" spans="1:13" x14ac:dyDescent="0.2">
      <c r="A29" s="23">
        <v>17</v>
      </c>
      <c r="B29" s="23" t="s">
        <v>28</v>
      </c>
      <c r="C29" s="23" t="s">
        <v>10</v>
      </c>
      <c r="D29" s="70">
        <f>SUM(E29:M29)</f>
        <v>34.540820590404024</v>
      </c>
      <c r="E29" s="30">
        <f>E27*E28</f>
        <v>1.4527516328198671</v>
      </c>
      <c r="F29" s="30">
        <f>F27*F28</f>
        <v>2.017569784014023</v>
      </c>
      <c r="G29" s="30">
        <f t="shared" ref="G29:M29" si="8">G27*G28</f>
        <v>0.85861100646934829</v>
      </c>
      <c r="H29" s="30">
        <f t="shared" si="8"/>
        <v>1.7757257283837438</v>
      </c>
      <c r="I29" s="30">
        <f>I27*I28</f>
        <v>0.25210156704796577</v>
      </c>
      <c r="J29" s="30">
        <f>J27*J28</f>
        <v>9.9527813881117151</v>
      </c>
      <c r="K29" s="30">
        <f t="shared" si="8"/>
        <v>10.361443072673179</v>
      </c>
      <c r="L29" s="30">
        <f>L27*L28</f>
        <v>4.4288751249381573</v>
      </c>
      <c r="M29" s="30">
        <f t="shared" si="8"/>
        <v>3.4409612859460252</v>
      </c>
    </row>
    <row r="30" spans="1:13" x14ac:dyDescent="0.2">
      <c r="K30" s="21"/>
      <c r="L30" s="21"/>
      <c r="M30" s="21"/>
    </row>
    <row r="31" spans="1:13" x14ac:dyDescent="0.2">
      <c r="C31" s="26" t="s">
        <v>26</v>
      </c>
      <c r="K31" s="21"/>
      <c r="L31" s="21"/>
      <c r="M31" s="21"/>
    </row>
    <row r="32" spans="1:13" outlineLevel="1" x14ac:dyDescent="0.2">
      <c r="A32" s="23">
        <v>18</v>
      </c>
      <c r="B32" s="23" t="s">
        <v>28</v>
      </c>
      <c r="C32" s="23" t="s">
        <v>27</v>
      </c>
      <c r="D32" s="32"/>
      <c r="E32" s="85">
        <v>71</v>
      </c>
      <c r="F32" s="85">
        <v>1062</v>
      </c>
      <c r="G32" s="85">
        <v>1734</v>
      </c>
      <c r="H32" s="85">
        <v>955</v>
      </c>
      <c r="I32" s="85">
        <v>738</v>
      </c>
      <c r="J32" s="85">
        <v>273</v>
      </c>
      <c r="K32" s="85">
        <v>3450</v>
      </c>
      <c r="L32" s="85">
        <v>5440</v>
      </c>
      <c r="M32" s="85">
        <v>1115</v>
      </c>
    </row>
    <row r="33" spans="1:13" outlineLevel="1" x14ac:dyDescent="0.2">
      <c r="A33" s="23">
        <v>19</v>
      </c>
      <c r="B33" s="23" t="s">
        <v>28</v>
      </c>
      <c r="C33" s="23" t="s">
        <v>12</v>
      </c>
      <c r="D33" s="32"/>
      <c r="E33" s="85">
        <v>1305</v>
      </c>
      <c r="F33" s="85">
        <v>11160</v>
      </c>
      <c r="G33" s="85">
        <v>29373</v>
      </c>
      <c r="H33" s="85">
        <v>35355</v>
      </c>
      <c r="I33" s="85">
        <v>10417</v>
      </c>
      <c r="J33" s="85">
        <v>18834</v>
      </c>
      <c r="K33" s="85">
        <v>59806</v>
      </c>
      <c r="L33" s="85">
        <v>37190</v>
      </c>
      <c r="M33" s="85">
        <v>28083</v>
      </c>
    </row>
    <row r="34" spans="1:13" outlineLevel="1" x14ac:dyDescent="0.2">
      <c r="A34" s="23">
        <v>20</v>
      </c>
      <c r="B34" s="23" t="s">
        <v>28</v>
      </c>
      <c r="C34" s="23" t="s">
        <v>13</v>
      </c>
      <c r="D34" s="32"/>
      <c r="E34" s="85">
        <v>223</v>
      </c>
      <c r="F34" s="85">
        <v>1181</v>
      </c>
      <c r="G34" s="85">
        <v>3813</v>
      </c>
      <c r="H34" s="85">
        <v>4751</v>
      </c>
      <c r="I34" s="85">
        <v>1167</v>
      </c>
      <c r="J34" s="85">
        <v>17</v>
      </c>
      <c r="K34" s="85">
        <v>2042</v>
      </c>
      <c r="L34" s="85">
        <v>5412</v>
      </c>
      <c r="M34" s="85">
        <v>3609</v>
      </c>
    </row>
    <row r="35" spans="1:13" s="26" customFormat="1" outlineLevel="1" x14ac:dyDescent="0.2">
      <c r="A35" s="23">
        <v>21</v>
      </c>
      <c r="B35" s="23" t="s">
        <v>28</v>
      </c>
      <c r="C35" s="26" t="s">
        <v>14</v>
      </c>
      <c r="D35" s="32"/>
      <c r="E35" s="87">
        <v>278</v>
      </c>
      <c r="F35" s="87">
        <v>733</v>
      </c>
      <c r="G35" s="87">
        <v>1685</v>
      </c>
      <c r="H35" s="87">
        <v>2780</v>
      </c>
      <c r="I35" s="87">
        <v>765</v>
      </c>
      <c r="J35" s="87">
        <v>256</v>
      </c>
      <c r="K35" s="87">
        <v>3512</v>
      </c>
      <c r="L35" s="87">
        <v>9590</v>
      </c>
      <c r="M35" s="87">
        <v>5731</v>
      </c>
    </row>
    <row r="36" spans="1:13" outlineLevel="1" x14ac:dyDescent="0.2">
      <c r="A36" s="23">
        <v>22</v>
      </c>
      <c r="B36" s="23" t="s">
        <v>28</v>
      </c>
      <c r="C36" s="23" t="s">
        <v>15</v>
      </c>
      <c r="D36" s="32"/>
      <c r="E36" s="19">
        <f>SUM(E33:E35)</f>
        <v>1806</v>
      </c>
      <c r="F36" s="19">
        <f t="shared" ref="F36:M36" si="9">SUM(F33:F35)</f>
        <v>13074</v>
      </c>
      <c r="G36" s="19">
        <f t="shared" si="9"/>
        <v>34871</v>
      </c>
      <c r="H36" s="19">
        <f t="shared" si="9"/>
        <v>42886</v>
      </c>
      <c r="I36" s="19">
        <f t="shared" si="9"/>
        <v>12349</v>
      </c>
      <c r="J36" s="19">
        <f t="shared" si="9"/>
        <v>19107</v>
      </c>
      <c r="K36" s="19">
        <f t="shared" si="9"/>
        <v>65360</v>
      </c>
      <c r="L36" s="19">
        <f t="shared" si="9"/>
        <v>52192</v>
      </c>
      <c r="M36" s="19">
        <f t="shared" si="9"/>
        <v>37423</v>
      </c>
    </row>
    <row r="37" spans="1:13" outlineLevel="1" x14ac:dyDescent="0.2">
      <c r="A37" s="23">
        <v>23</v>
      </c>
      <c r="B37" s="23" t="s">
        <v>28</v>
      </c>
      <c r="C37" s="23" t="s">
        <v>16</v>
      </c>
      <c r="D37" s="32"/>
      <c r="E37" s="85">
        <v>6292</v>
      </c>
      <c r="F37" s="85">
        <v>96701</v>
      </c>
      <c r="G37" s="85">
        <v>142663</v>
      </c>
      <c r="H37" s="85">
        <v>105819</v>
      </c>
      <c r="I37" s="85">
        <v>65053</v>
      </c>
      <c r="J37" s="85">
        <v>30733</v>
      </c>
      <c r="K37" s="85">
        <v>267621</v>
      </c>
      <c r="L37" s="85">
        <v>222750</v>
      </c>
      <c r="M37" s="85">
        <v>76257</v>
      </c>
    </row>
    <row r="38" spans="1:13" outlineLevel="1" x14ac:dyDescent="0.2">
      <c r="A38" s="23">
        <v>24</v>
      </c>
      <c r="B38" s="23" t="s">
        <v>28</v>
      </c>
      <c r="C38" s="23" t="s">
        <v>17</v>
      </c>
      <c r="D38" s="32"/>
      <c r="E38" s="85">
        <v>3401</v>
      </c>
      <c r="F38" s="85">
        <v>38975</v>
      </c>
      <c r="G38" s="85">
        <v>98992</v>
      </c>
      <c r="H38" s="85">
        <v>95824</v>
      </c>
      <c r="I38" s="85">
        <v>39032</v>
      </c>
      <c r="J38" s="85">
        <v>36680</v>
      </c>
      <c r="K38" s="85">
        <v>160542</v>
      </c>
      <c r="L38" s="85">
        <v>196019</v>
      </c>
      <c r="M38" s="85">
        <v>122725</v>
      </c>
    </row>
    <row r="39" spans="1:13" outlineLevel="1" x14ac:dyDescent="0.2">
      <c r="A39" s="23">
        <v>25</v>
      </c>
      <c r="B39" s="23" t="s">
        <v>28</v>
      </c>
      <c r="C39" s="23" t="s">
        <v>18</v>
      </c>
      <c r="D39" s="32"/>
      <c r="E39" s="85">
        <v>154</v>
      </c>
      <c r="F39" s="85">
        <v>1728</v>
      </c>
      <c r="G39" s="85">
        <v>2622</v>
      </c>
      <c r="H39" s="85">
        <v>1935</v>
      </c>
      <c r="I39" s="85">
        <v>1378</v>
      </c>
      <c r="J39" s="85">
        <v>440</v>
      </c>
      <c r="K39" s="85">
        <v>7341</v>
      </c>
      <c r="L39" s="85">
        <v>8060</v>
      </c>
      <c r="M39" s="85">
        <v>2184</v>
      </c>
    </row>
    <row r="40" spans="1:13" outlineLevel="1" x14ac:dyDescent="0.2">
      <c r="A40" s="23">
        <v>26</v>
      </c>
      <c r="B40" s="23" t="s">
        <v>28</v>
      </c>
      <c r="C40" s="23" t="s">
        <v>19</v>
      </c>
      <c r="D40" s="32"/>
      <c r="E40" s="19"/>
      <c r="F40" s="19"/>
      <c r="G40" s="19"/>
      <c r="H40" s="19"/>
      <c r="I40" s="19"/>
      <c r="J40" s="19"/>
      <c r="K40" s="19"/>
      <c r="L40" s="19"/>
      <c r="M40" s="19"/>
    </row>
    <row r="41" spans="1:13" outlineLevel="1" x14ac:dyDescent="0.2">
      <c r="A41" s="23">
        <v>27</v>
      </c>
      <c r="B41" s="23" t="s">
        <v>28</v>
      </c>
      <c r="C41" s="23" t="s">
        <v>20</v>
      </c>
      <c r="D41" s="32"/>
      <c r="E41" s="22">
        <f t="shared" ref="E41:M41" si="10">E36/E38</f>
        <v>0.53102028815054392</v>
      </c>
      <c r="F41" s="22">
        <f t="shared" si="10"/>
        <v>0.33544579858883899</v>
      </c>
      <c r="G41" s="22">
        <f t="shared" si="10"/>
        <v>0.35226078875060612</v>
      </c>
      <c r="H41" s="22">
        <f t="shared" si="10"/>
        <v>0.44754967440307231</v>
      </c>
      <c r="I41" s="22">
        <f t="shared" ref="I41:K42" si="11">I36/I38</f>
        <v>0.31638143062102891</v>
      </c>
      <c r="J41" s="22">
        <f t="shared" si="11"/>
        <v>0.52091057797164664</v>
      </c>
      <c r="K41" s="22">
        <f t="shared" si="11"/>
        <v>0.40712087802568797</v>
      </c>
      <c r="L41" s="22">
        <f t="shared" si="10"/>
        <v>0.26625990337671346</v>
      </c>
      <c r="M41" s="22">
        <f t="shared" si="10"/>
        <v>0.30493379507027907</v>
      </c>
    </row>
    <row r="42" spans="1:13" outlineLevel="1" x14ac:dyDescent="0.2">
      <c r="A42" s="23">
        <v>28</v>
      </c>
      <c r="B42" s="23" t="s">
        <v>28</v>
      </c>
      <c r="C42" s="23" t="s">
        <v>21</v>
      </c>
      <c r="D42" s="32"/>
      <c r="E42" s="19">
        <f t="shared" ref="E42:M42" si="12">E37/E39</f>
        <v>40.857142857142854</v>
      </c>
      <c r="F42" s="19">
        <f t="shared" si="12"/>
        <v>55.961226851851855</v>
      </c>
      <c r="G42" s="19">
        <f t="shared" si="12"/>
        <v>54.409992372234932</v>
      </c>
      <c r="H42" s="19">
        <f t="shared" si="12"/>
        <v>54.686821705426354</v>
      </c>
      <c r="I42" s="19">
        <f t="shared" si="11"/>
        <v>47.208272859216258</v>
      </c>
      <c r="J42" s="19">
        <f t="shared" si="11"/>
        <v>69.847727272727269</v>
      </c>
      <c r="K42" s="19">
        <f t="shared" si="11"/>
        <v>36.455659991826728</v>
      </c>
      <c r="L42" s="19">
        <f t="shared" si="12"/>
        <v>27.636476426799007</v>
      </c>
      <c r="M42" s="19">
        <f t="shared" si="12"/>
        <v>34.916208791208788</v>
      </c>
    </row>
    <row r="43" spans="1:13" outlineLevel="1" x14ac:dyDescent="0.2">
      <c r="A43" s="23">
        <v>29</v>
      </c>
      <c r="B43" s="23" t="s">
        <v>28</v>
      </c>
      <c r="C43" s="23" t="s">
        <v>22</v>
      </c>
      <c r="D43" s="32"/>
      <c r="E43" s="36">
        <f t="shared" ref="E43:M43" si="13">E38/E37</f>
        <v>0.54052765416401782</v>
      </c>
      <c r="F43" s="36">
        <f t="shared" si="13"/>
        <v>0.40304650417265592</v>
      </c>
      <c r="G43" s="36">
        <f t="shared" si="13"/>
        <v>0.69388699242270246</v>
      </c>
      <c r="H43" s="36">
        <f t="shared" si="13"/>
        <v>0.90554626295844787</v>
      </c>
      <c r="I43" s="36">
        <f>I38/I37</f>
        <v>0.60000307441624523</v>
      </c>
      <c r="J43" s="36">
        <f>J38/J37</f>
        <v>1.1935053525526307</v>
      </c>
      <c r="K43" s="36">
        <f>K38/K37</f>
        <v>0.5998856591971482</v>
      </c>
      <c r="L43" s="36">
        <f t="shared" si="13"/>
        <v>0.87999551066217729</v>
      </c>
      <c r="M43" s="36">
        <f t="shared" si="13"/>
        <v>1.6093604521552121</v>
      </c>
    </row>
    <row r="44" spans="1:13" outlineLevel="1" x14ac:dyDescent="0.2">
      <c r="A44" s="23">
        <v>30</v>
      </c>
      <c r="B44" s="23" t="s">
        <v>28</v>
      </c>
      <c r="C44" s="23" t="s">
        <v>23</v>
      </c>
      <c r="D44" s="32"/>
      <c r="E44" s="36">
        <f t="shared" ref="E44:M44" si="14">E36/E37</f>
        <v>0.28703115066751428</v>
      </c>
      <c r="F44" s="36">
        <f t="shared" si="14"/>
        <v>0.13520025646063638</v>
      </c>
      <c r="G44" s="36">
        <f t="shared" si="14"/>
        <v>0.244429179254607</v>
      </c>
      <c r="H44" s="36">
        <f t="shared" si="14"/>
        <v>0.40527693514397223</v>
      </c>
      <c r="I44" s="36">
        <f>I36/I37</f>
        <v>0.18982983106082732</v>
      </c>
      <c r="J44" s="36">
        <f>J36/J37</f>
        <v>0.62170956301044478</v>
      </c>
      <c r="K44" s="36">
        <f>K36/K37</f>
        <v>0.24422597628736162</v>
      </c>
      <c r="L44" s="36">
        <f t="shared" si="14"/>
        <v>0.23430751964085297</v>
      </c>
      <c r="M44" s="36">
        <f t="shared" si="14"/>
        <v>0.49074839031170908</v>
      </c>
    </row>
    <row r="45" spans="1:13" outlineLevel="1" x14ac:dyDescent="0.2">
      <c r="A45" s="23">
        <v>31</v>
      </c>
      <c r="B45" s="23" t="s">
        <v>28</v>
      </c>
      <c r="C45" s="23" t="s">
        <v>24</v>
      </c>
      <c r="D45" s="32"/>
      <c r="E45" s="19">
        <f t="shared" ref="E45:M45" si="15">E36/E32</f>
        <v>25.43661971830986</v>
      </c>
      <c r="F45" s="19">
        <f t="shared" si="15"/>
        <v>12.310734463276836</v>
      </c>
      <c r="G45" s="19">
        <f t="shared" si="15"/>
        <v>20.110149942329873</v>
      </c>
      <c r="H45" s="19">
        <f t="shared" si="15"/>
        <v>44.906806282722513</v>
      </c>
      <c r="I45" s="19">
        <f>I36/I32</f>
        <v>16.733062330623305</v>
      </c>
      <c r="J45" s="19">
        <f>J36/J32</f>
        <v>69.989010989010993</v>
      </c>
      <c r="K45" s="19">
        <f>K36/K32</f>
        <v>18.944927536231884</v>
      </c>
      <c r="L45" s="19">
        <f t="shared" si="15"/>
        <v>9.5941176470588232</v>
      </c>
      <c r="M45" s="19">
        <f t="shared" si="15"/>
        <v>33.563228699551573</v>
      </c>
    </row>
    <row r="46" spans="1:13" x14ac:dyDescent="0.2">
      <c r="K46" s="21"/>
      <c r="L46" s="21"/>
      <c r="M46" s="21"/>
    </row>
    <row r="47" spans="1:13" x14ac:dyDescent="0.2">
      <c r="C47" s="26" t="s">
        <v>25</v>
      </c>
      <c r="K47" s="21"/>
      <c r="L47" s="21"/>
      <c r="M47" s="21"/>
    </row>
    <row r="48" spans="1:13" x14ac:dyDescent="0.2">
      <c r="A48" s="23">
        <v>32</v>
      </c>
      <c r="B48" s="23" t="s">
        <v>28</v>
      </c>
      <c r="C48" s="23" t="s">
        <v>27</v>
      </c>
      <c r="D48" s="32"/>
      <c r="E48" s="85">
        <v>558.71665999999993</v>
      </c>
      <c r="F48" s="85">
        <v>1671.7166599999998</v>
      </c>
      <c r="G48" s="85">
        <v>736.8</v>
      </c>
      <c r="H48" s="85">
        <v>402.71659999999997</v>
      </c>
      <c r="I48" s="85">
        <v>151.36667</v>
      </c>
      <c r="J48" s="85">
        <v>3065.4000600000036</v>
      </c>
      <c r="K48" s="85">
        <v>2353.7834699999999</v>
      </c>
      <c r="L48" s="85">
        <v>776.35008000000005</v>
      </c>
      <c r="M48" s="85">
        <v>247.4001500000002</v>
      </c>
    </row>
    <row r="49" spans="1:13" x14ac:dyDescent="0.2">
      <c r="A49" s="23">
        <v>33</v>
      </c>
      <c r="B49" s="23" t="s">
        <v>28</v>
      </c>
      <c r="C49" s="23" t="s">
        <v>12</v>
      </c>
      <c r="D49" s="32"/>
      <c r="E49" s="85">
        <v>7049.8</v>
      </c>
      <c r="F49" s="85">
        <v>29239.7</v>
      </c>
      <c r="G49" s="85">
        <v>31517.000000000007</v>
      </c>
      <c r="H49" s="85">
        <v>4084.1000000000031</v>
      </c>
      <c r="I49" s="85">
        <v>7716.8</v>
      </c>
      <c r="J49" s="85">
        <v>50089.700000000012</v>
      </c>
      <c r="K49" s="85">
        <v>29785.999999999996</v>
      </c>
      <c r="L49" s="85">
        <v>26219.000000000011</v>
      </c>
      <c r="M49" s="85">
        <v>7138.3999999999978</v>
      </c>
    </row>
    <row r="50" spans="1:13" x14ac:dyDescent="0.2">
      <c r="A50" s="23">
        <v>34</v>
      </c>
      <c r="B50" s="23" t="s">
        <v>28</v>
      </c>
      <c r="C50" s="23" t="s">
        <v>13</v>
      </c>
      <c r="D50" s="32"/>
      <c r="E50" s="85">
        <v>1320.9735000000003</v>
      </c>
      <c r="F50" s="85">
        <v>4457.8751249999996</v>
      </c>
      <c r="G50" s="85">
        <v>4067.7821250000006</v>
      </c>
      <c r="H50" s="85">
        <v>1137.9026249999993</v>
      </c>
      <c r="I50" s="85">
        <v>123.39600000000002</v>
      </c>
      <c r="J50" s="85">
        <v>2352.8309999999992</v>
      </c>
      <c r="K50" s="85">
        <v>5336.281874999996</v>
      </c>
      <c r="L50" s="85">
        <v>3357.4811249999998</v>
      </c>
      <c r="M50" s="85">
        <v>980.08724999999981</v>
      </c>
    </row>
    <row r="51" spans="1:13" x14ac:dyDescent="0.2">
      <c r="A51" s="23">
        <v>35</v>
      </c>
      <c r="B51" s="23" t="s">
        <v>28</v>
      </c>
      <c r="C51" s="26" t="s">
        <v>14</v>
      </c>
      <c r="D51" s="32">
        <f>SUM(E51:M51)</f>
        <v>30915.732000000004</v>
      </c>
      <c r="E51" s="87">
        <v>1106.8440000000003</v>
      </c>
      <c r="F51" s="87">
        <v>2339.9470000000001</v>
      </c>
      <c r="G51" s="87">
        <v>2232.3070000000007</v>
      </c>
      <c r="H51" s="87">
        <v>853.32599999999991</v>
      </c>
      <c r="I51" s="87">
        <v>349.18799999999999</v>
      </c>
      <c r="J51" s="87">
        <v>4147.277</v>
      </c>
      <c r="K51" s="87">
        <v>11166.930000000004</v>
      </c>
      <c r="L51" s="87">
        <v>6128.8254999999981</v>
      </c>
      <c r="M51" s="87">
        <v>2591.0875000000015</v>
      </c>
    </row>
    <row r="52" spans="1:13" x14ac:dyDescent="0.2">
      <c r="A52" s="23">
        <v>36</v>
      </c>
      <c r="B52" s="23" t="s">
        <v>28</v>
      </c>
      <c r="C52" s="23" t="s">
        <v>15</v>
      </c>
      <c r="D52" s="32"/>
      <c r="E52" s="19">
        <f>SUM(E49:E51)</f>
        <v>9477.6175000000021</v>
      </c>
      <c r="F52" s="19">
        <f>SUM(F49:F51)</f>
        <v>36037.522125000003</v>
      </c>
      <c r="G52" s="19">
        <f t="shared" ref="G52:M52" si="16">SUM(G49:G51)</f>
        <v>37817.089125000006</v>
      </c>
      <c r="H52" s="19">
        <f t="shared" si="16"/>
        <v>6075.3286250000028</v>
      </c>
      <c r="I52" s="19">
        <f>SUM(I49:I51)</f>
        <v>8189.384</v>
      </c>
      <c r="J52" s="19">
        <f>SUM(J49:J51)</f>
        <v>56589.808000000012</v>
      </c>
      <c r="K52" s="19">
        <f t="shared" si="16"/>
        <v>46289.211874999994</v>
      </c>
      <c r="L52" s="19">
        <f t="shared" si="16"/>
        <v>35705.306625000005</v>
      </c>
      <c r="M52" s="19">
        <f t="shared" si="16"/>
        <v>10709.57475</v>
      </c>
    </row>
    <row r="53" spans="1:13" x14ac:dyDescent="0.2">
      <c r="A53" s="23">
        <v>37</v>
      </c>
      <c r="B53" s="23" t="s">
        <v>28</v>
      </c>
      <c r="C53" s="23" t="s">
        <v>16</v>
      </c>
      <c r="D53" s="32">
        <f>SUM(E53:M53)</f>
        <v>815537</v>
      </c>
      <c r="E53" s="85">
        <v>50847</v>
      </c>
      <c r="F53" s="85">
        <v>133220</v>
      </c>
      <c r="G53" s="85">
        <v>81346</v>
      </c>
      <c r="H53" s="85">
        <v>33228</v>
      </c>
      <c r="I53" s="85">
        <v>15120</v>
      </c>
      <c r="J53" s="85">
        <v>231349</v>
      </c>
      <c r="K53" s="85">
        <v>178723</v>
      </c>
      <c r="L53" s="85">
        <v>64365</v>
      </c>
      <c r="M53" s="85">
        <v>27339</v>
      </c>
    </row>
    <row r="54" spans="1:13" ht="13.2" x14ac:dyDescent="0.25">
      <c r="A54" s="23">
        <v>38</v>
      </c>
      <c r="B54" s="23" t="s">
        <v>28</v>
      </c>
      <c r="C54" s="23" t="s">
        <v>17</v>
      </c>
      <c r="D54" s="65"/>
      <c r="E54" s="85">
        <v>24109.653500000004</v>
      </c>
      <c r="F54" s="85">
        <v>87675.766000000003</v>
      </c>
      <c r="G54" s="85">
        <v>91556.348000000013</v>
      </c>
      <c r="H54" s="85">
        <v>20677.387999999999</v>
      </c>
      <c r="I54" s="85">
        <v>19880.027999999998</v>
      </c>
      <c r="J54" s="85">
        <v>138809.40000000002</v>
      </c>
      <c r="K54" s="85">
        <v>156239.61300000004</v>
      </c>
      <c r="L54" s="85">
        <v>103295.52649999996</v>
      </c>
      <c r="M54" s="85">
        <v>36907.65</v>
      </c>
    </row>
    <row r="55" spans="1:13" x14ac:dyDescent="0.2">
      <c r="A55" s="23">
        <v>39</v>
      </c>
      <c r="B55" s="23" t="s">
        <v>28</v>
      </c>
      <c r="C55" s="23" t="s">
        <v>18</v>
      </c>
      <c r="D55" s="32">
        <f>SUM(E55:M55)</f>
        <v>19568</v>
      </c>
      <c r="E55" s="85">
        <v>985</v>
      </c>
      <c r="F55" s="85">
        <v>2592</v>
      </c>
      <c r="G55" s="85">
        <v>1537</v>
      </c>
      <c r="H55" s="85">
        <v>859</v>
      </c>
      <c r="I55" s="85">
        <v>270</v>
      </c>
      <c r="J55" s="85">
        <v>6564</v>
      </c>
      <c r="K55" s="85">
        <v>4427</v>
      </c>
      <c r="L55" s="85">
        <v>1698</v>
      </c>
      <c r="M55" s="85">
        <v>636</v>
      </c>
    </row>
    <row r="56" spans="1:13" ht="13.2" x14ac:dyDescent="0.25">
      <c r="A56" s="23">
        <v>40</v>
      </c>
      <c r="B56" s="23" t="s">
        <v>28</v>
      </c>
      <c r="C56" s="23" t="s">
        <v>19</v>
      </c>
      <c r="D56" s="65"/>
      <c r="E56" s="19"/>
      <c r="F56" s="19"/>
      <c r="G56" s="19"/>
      <c r="H56" s="19"/>
      <c r="I56" s="19"/>
      <c r="J56" s="19"/>
      <c r="K56" s="19"/>
      <c r="L56" s="19"/>
      <c r="M56" s="19"/>
    </row>
    <row r="57" spans="1:13" ht="13.2" x14ac:dyDescent="0.25">
      <c r="A57" s="23">
        <v>41</v>
      </c>
      <c r="B57" s="23" t="s">
        <v>28</v>
      </c>
      <c r="C57" s="23" t="s">
        <v>20</v>
      </c>
      <c r="D57" s="66"/>
      <c r="E57" s="22">
        <f t="shared" ref="E57:G58" si="17">E52/E54</f>
        <v>0.39310467485565481</v>
      </c>
      <c r="F57" s="22">
        <f t="shared" si="17"/>
        <v>0.41103173395713477</v>
      </c>
      <c r="G57" s="22">
        <f t="shared" si="17"/>
        <v>0.41304715567073513</v>
      </c>
      <c r="H57" s="22">
        <f t="shared" ref="H57:M58" si="18">H52/H54</f>
        <v>0.2938150904263151</v>
      </c>
      <c r="I57" s="22">
        <f>I52/I54</f>
        <v>0.41194026487286639</v>
      </c>
      <c r="J57" s="22">
        <f>J52/J54</f>
        <v>0.40767994098382387</v>
      </c>
      <c r="K57" s="22">
        <f t="shared" si="18"/>
        <v>0.29627065112482059</v>
      </c>
      <c r="L57" s="22">
        <f>L52/L54</f>
        <v>0.34566169353907128</v>
      </c>
      <c r="M57" s="22">
        <f t="shared" si="18"/>
        <v>0.29017222039333307</v>
      </c>
    </row>
    <row r="58" spans="1:13" x14ac:dyDescent="0.2">
      <c r="A58" s="23">
        <v>42</v>
      </c>
      <c r="B58" s="23" t="s">
        <v>28</v>
      </c>
      <c r="C58" s="23" t="s">
        <v>21</v>
      </c>
      <c r="D58" s="19">
        <f>D53/D55</f>
        <v>41.677074816026163</v>
      </c>
      <c r="E58" s="19">
        <f t="shared" si="17"/>
        <v>51.621319796954317</v>
      </c>
      <c r="F58" s="19">
        <f t="shared" si="17"/>
        <v>51.396604938271608</v>
      </c>
      <c r="G58" s="19">
        <f t="shared" si="17"/>
        <v>52.925178919973973</v>
      </c>
      <c r="H58" s="19">
        <f t="shared" si="18"/>
        <v>38.682188591385334</v>
      </c>
      <c r="I58" s="19">
        <f>I53/I55</f>
        <v>56</v>
      </c>
      <c r="J58" s="19">
        <f>J53/J55</f>
        <v>35.245124923826936</v>
      </c>
      <c r="K58" s="19">
        <f t="shared" si="18"/>
        <v>40.371131691890668</v>
      </c>
      <c r="L58" s="19">
        <f>L53/L55</f>
        <v>37.906360424028271</v>
      </c>
      <c r="M58" s="19">
        <f t="shared" si="18"/>
        <v>42.985849056603776</v>
      </c>
    </row>
    <row r="59" spans="1:13" x14ac:dyDescent="0.2">
      <c r="A59" s="23">
        <v>43</v>
      </c>
      <c r="B59" s="23" t="s">
        <v>28</v>
      </c>
      <c r="C59" s="23" t="s">
        <v>22</v>
      </c>
      <c r="D59" s="32"/>
      <c r="E59" s="36">
        <f>E54/E53</f>
        <v>0.47416078628040992</v>
      </c>
      <c r="F59" s="36">
        <f>F54/F53</f>
        <v>0.65812765350547964</v>
      </c>
      <c r="G59" s="36">
        <f>G54/G53</f>
        <v>1.1255175177636272</v>
      </c>
      <c r="H59" s="36">
        <f t="shared" ref="H59:M59" si="19">H54/H53</f>
        <v>0.62228807030215483</v>
      </c>
      <c r="I59" s="36">
        <f>I54/I53</f>
        <v>1.3148166666666665</v>
      </c>
      <c r="J59" s="36">
        <f>J54/J53</f>
        <v>0.60000000000000009</v>
      </c>
      <c r="K59" s="36">
        <f t="shared" si="19"/>
        <v>0.87419981199957497</v>
      </c>
      <c r="L59" s="36">
        <f>L54/L53</f>
        <v>1.6048399984463599</v>
      </c>
      <c r="M59" s="36">
        <f t="shared" si="19"/>
        <v>1.35</v>
      </c>
    </row>
    <row r="60" spans="1:13" x14ac:dyDescent="0.2">
      <c r="A60" s="23">
        <v>44</v>
      </c>
      <c r="B60" s="23" t="s">
        <v>28</v>
      </c>
      <c r="C60" s="23" t="s">
        <v>23</v>
      </c>
      <c r="D60" s="32"/>
      <c r="E60" s="36">
        <f>E52/E53</f>
        <v>0.18639482172006219</v>
      </c>
      <c r="F60" s="36">
        <f>F52/F53</f>
        <v>0.27051135058549769</v>
      </c>
      <c r="G60" s="36">
        <f>G52/G53</f>
        <v>0.4648918093698523</v>
      </c>
      <c r="H60" s="36">
        <f t="shared" ref="H60:M60" si="20">H52/H53</f>
        <v>0.18283762564704475</v>
      </c>
      <c r="I60" s="36">
        <f>I52/I53</f>
        <v>0.54162592592592596</v>
      </c>
      <c r="J60" s="36">
        <f>J52/J53</f>
        <v>0.24460796459029438</v>
      </c>
      <c r="K60" s="36">
        <f t="shared" si="20"/>
        <v>0.25899974751430982</v>
      </c>
      <c r="L60" s="36">
        <f>L52/L53</f>
        <v>0.55473171172220936</v>
      </c>
      <c r="M60" s="36">
        <f t="shared" si="20"/>
        <v>0.39173249753099965</v>
      </c>
    </row>
    <row r="61" spans="1:13" x14ac:dyDescent="0.2">
      <c r="A61" s="23">
        <v>45</v>
      </c>
      <c r="B61" s="23" t="s">
        <v>28</v>
      </c>
      <c r="C61" s="23" t="s">
        <v>24</v>
      </c>
      <c r="D61" s="32"/>
      <c r="E61" s="19">
        <f>E52/E48</f>
        <v>16.963191145937913</v>
      </c>
      <c r="F61" s="19">
        <f>F52/F48</f>
        <v>21.557195060196388</v>
      </c>
      <c r="G61" s="19">
        <f>G52/G48</f>
        <v>51.326125305374603</v>
      </c>
      <c r="H61" s="19">
        <f t="shared" ref="H61:M61" si="21">H52/H48</f>
        <v>15.085865904211555</v>
      </c>
      <c r="I61" s="19">
        <f>I52/I48</f>
        <v>54.102954104757671</v>
      </c>
      <c r="J61" s="19">
        <f>J52/J48</f>
        <v>18.460823022232194</v>
      </c>
      <c r="K61" s="19">
        <f t="shared" si="21"/>
        <v>19.665875160131019</v>
      </c>
      <c r="L61" s="19">
        <f>L52/L48</f>
        <v>45.991244858247455</v>
      </c>
      <c r="M61" s="19">
        <f t="shared" si="21"/>
        <v>43.288473147651651</v>
      </c>
    </row>
  </sheetData>
  <mergeCells count="1">
    <mergeCell ref="E6:M6"/>
  </mergeCells>
  <pageMargins left="0.7" right="0.7" top="0.25" bottom="0.25" header="0.3" footer="0.3"/>
  <pageSetup orientation="portrait" verticalDpi="598" r:id="rId1"/>
  <ignoredErrors>
    <ignoredError sqref="E36 F36:I36 J36:M36 E52:M52" formulaRange="1"/>
    <ignoredError sqref="E13:M13 E17:M17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showGridLines="0" tabSelected="1" zoomScale="70" zoomScaleNormal="70" workbookViewId="0">
      <selection activeCell="B32" sqref="B32"/>
    </sheetView>
  </sheetViews>
  <sheetFormatPr defaultColWidth="9.109375" defaultRowHeight="13.8" x14ac:dyDescent="0.25"/>
  <cols>
    <col min="1" max="1" width="3" style="2" bestFit="1" customWidth="1"/>
    <col min="2" max="2" width="1.5546875" style="2" bestFit="1" customWidth="1"/>
    <col min="3" max="3" width="26.109375" style="2" customWidth="1"/>
    <col min="4" max="4" width="11.6640625" style="3" customWidth="1"/>
    <col min="5" max="5" width="11.109375" style="71" bestFit="1" customWidth="1"/>
    <col min="6" max="6" width="11.109375" style="71" customWidth="1"/>
    <col min="7" max="7" width="11.5546875" style="71" bestFit="1" customWidth="1"/>
    <col min="8" max="8" width="11.109375" style="71" bestFit="1" customWidth="1"/>
    <col min="9" max="9" width="9.5546875" style="71" bestFit="1" customWidth="1"/>
    <col min="10" max="10" width="9.44140625" style="71" customWidth="1"/>
    <col min="11" max="11" width="10.33203125" style="71" bestFit="1" customWidth="1"/>
    <col min="12" max="12" width="9.5546875" style="71" bestFit="1" customWidth="1"/>
    <col min="13" max="13" width="10.88671875" style="2" customWidth="1"/>
    <col min="14" max="16384" width="9.109375" style="23"/>
  </cols>
  <sheetData>
    <row r="1" spans="1:23" x14ac:dyDescent="0.25">
      <c r="M1" s="72"/>
    </row>
    <row r="2" spans="1:23" x14ac:dyDescent="0.25">
      <c r="M2" s="72" t="s">
        <v>56</v>
      </c>
    </row>
    <row r="3" spans="1:23" x14ac:dyDescent="0.25">
      <c r="M3" s="72" t="s">
        <v>140</v>
      </c>
    </row>
    <row r="4" spans="1:23" x14ac:dyDescent="0.25">
      <c r="M4" s="72" t="s">
        <v>84</v>
      </c>
    </row>
    <row r="6" spans="1:23" x14ac:dyDescent="0.25">
      <c r="D6" s="8" t="s">
        <v>155</v>
      </c>
      <c r="E6" s="73"/>
      <c r="F6" s="73"/>
      <c r="G6" s="73"/>
      <c r="H6" s="73"/>
      <c r="I6" s="73"/>
      <c r="J6" s="73"/>
      <c r="K6" s="73"/>
      <c r="L6" s="73"/>
      <c r="M6" s="8"/>
    </row>
    <row r="10" spans="1:23" x14ac:dyDescent="0.25">
      <c r="C10" s="2" t="s">
        <v>37</v>
      </c>
      <c r="E10" s="72" t="s">
        <v>154</v>
      </c>
      <c r="F10" s="72" t="s">
        <v>51</v>
      </c>
      <c r="G10" s="72" t="s">
        <v>51</v>
      </c>
      <c r="H10" s="72" t="s">
        <v>51</v>
      </c>
      <c r="I10" s="72" t="s">
        <v>53</v>
      </c>
      <c r="J10" s="72" t="s">
        <v>142</v>
      </c>
      <c r="K10" s="72" t="s">
        <v>49</v>
      </c>
      <c r="L10" s="72" t="s">
        <v>118</v>
      </c>
      <c r="M10" s="72" t="s">
        <v>118</v>
      </c>
      <c r="O10" s="72"/>
      <c r="P10" s="72"/>
      <c r="Q10" s="72"/>
      <c r="R10" s="72"/>
      <c r="S10" s="72"/>
      <c r="T10" s="72"/>
      <c r="U10" s="72"/>
      <c r="V10" s="72"/>
      <c r="W10" s="72"/>
    </row>
    <row r="11" spans="1:23" x14ac:dyDescent="0.25">
      <c r="C11" s="2" t="s">
        <v>5</v>
      </c>
      <c r="D11" s="5"/>
      <c r="E11" s="3" t="s">
        <v>132</v>
      </c>
      <c r="F11" s="3" t="s">
        <v>52</v>
      </c>
      <c r="G11" s="3" t="s">
        <v>52</v>
      </c>
      <c r="H11" s="3" t="s">
        <v>52</v>
      </c>
      <c r="I11" s="3" t="s">
        <v>54</v>
      </c>
      <c r="J11" s="3" t="s">
        <v>137</v>
      </c>
      <c r="K11" s="3" t="s">
        <v>50</v>
      </c>
      <c r="L11" s="3" t="s">
        <v>48</v>
      </c>
      <c r="M11" s="3" t="s">
        <v>48</v>
      </c>
      <c r="O11" s="3"/>
      <c r="P11" s="3"/>
      <c r="Q11" s="3"/>
      <c r="R11" s="3"/>
      <c r="S11" s="3"/>
      <c r="T11" s="3"/>
      <c r="U11" s="3"/>
      <c r="V11" s="3"/>
      <c r="W11" s="3"/>
    </row>
    <row r="12" spans="1:23" s="19" customFormat="1" x14ac:dyDescent="0.25">
      <c r="A12" s="15"/>
      <c r="B12" s="15"/>
      <c r="C12" s="16" t="s">
        <v>11</v>
      </c>
      <c r="D12" s="74" t="s">
        <v>30</v>
      </c>
      <c r="E12" s="16">
        <v>35</v>
      </c>
      <c r="F12" s="16">
        <v>35</v>
      </c>
      <c r="G12" s="16">
        <v>40</v>
      </c>
      <c r="H12" s="16">
        <v>416</v>
      </c>
      <c r="I12" s="16">
        <v>40</v>
      </c>
      <c r="J12" s="16">
        <v>415</v>
      </c>
      <c r="K12" s="16">
        <v>40</v>
      </c>
      <c r="L12" s="16">
        <v>40</v>
      </c>
      <c r="M12" s="16">
        <v>42</v>
      </c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2">
        <v>1</v>
      </c>
      <c r="B13" s="2" t="s">
        <v>28</v>
      </c>
      <c r="C13" s="2" t="s">
        <v>122</v>
      </c>
      <c r="D13" s="71"/>
      <c r="E13" s="82">
        <v>3424</v>
      </c>
      <c r="F13" s="82">
        <v>69181</v>
      </c>
      <c r="G13" s="82">
        <v>160491</v>
      </c>
      <c r="H13" s="82">
        <v>141181</v>
      </c>
      <c r="I13" s="82">
        <v>124170</v>
      </c>
      <c r="J13" s="82">
        <v>59151</v>
      </c>
      <c r="K13" s="82">
        <v>335534</v>
      </c>
      <c r="L13" s="82">
        <v>769528</v>
      </c>
      <c r="M13" s="82">
        <v>181316</v>
      </c>
    </row>
    <row r="14" spans="1:23" x14ac:dyDescent="0.25">
      <c r="A14" s="2">
        <f>A13+1</f>
        <v>2</v>
      </c>
      <c r="B14" s="2" t="s">
        <v>28</v>
      </c>
      <c r="C14" s="2" t="s">
        <v>123</v>
      </c>
      <c r="D14" s="15"/>
      <c r="E14" s="83">
        <v>922</v>
      </c>
      <c r="F14" s="83">
        <v>18580</v>
      </c>
      <c r="G14" s="83">
        <v>42774</v>
      </c>
      <c r="H14" s="83">
        <v>46608</v>
      </c>
      <c r="I14" s="83">
        <v>20280</v>
      </c>
      <c r="J14" s="83">
        <v>17412</v>
      </c>
      <c r="K14" s="83">
        <v>69840</v>
      </c>
      <c r="L14" s="83">
        <v>186242</v>
      </c>
      <c r="M14" s="83">
        <v>76518</v>
      </c>
    </row>
    <row r="15" spans="1:23" x14ac:dyDescent="0.25">
      <c r="A15" s="2">
        <f t="shared" ref="A15:A27" si="0">A14+1</f>
        <v>3</v>
      </c>
      <c r="B15" s="2" t="s">
        <v>28</v>
      </c>
      <c r="C15" s="2" t="s">
        <v>46</v>
      </c>
      <c r="D15" s="15"/>
      <c r="E15" s="83">
        <v>57</v>
      </c>
      <c r="F15" s="83">
        <v>1134</v>
      </c>
      <c r="G15" s="83">
        <v>1811</v>
      </c>
      <c r="H15" s="83">
        <v>999</v>
      </c>
      <c r="I15" s="83">
        <v>787</v>
      </c>
      <c r="J15" s="83">
        <v>348</v>
      </c>
      <c r="K15" s="83">
        <v>3492</v>
      </c>
      <c r="L15" s="83">
        <v>7528</v>
      </c>
      <c r="M15" s="83">
        <v>1516</v>
      </c>
    </row>
    <row r="16" spans="1:23" x14ac:dyDescent="0.25"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x14ac:dyDescent="0.25">
      <c r="A17" s="2">
        <f>A15+1</f>
        <v>4</v>
      </c>
      <c r="B17" s="2" t="s">
        <v>28</v>
      </c>
      <c r="C17" s="2" t="s">
        <v>45</v>
      </c>
      <c r="D17" s="15"/>
      <c r="E17" s="83">
        <v>54</v>
      </c>
      <c r="F17" s="83">
        <v>1062</v>
      </c>
      <c r="G17" s="83">
        <v>1734</v>
      </c>
      <c r="H17" s="83">
        <v>955</v>
      </c>
      <c r="I17" s="83">
        <v>738</v>
      </c>
      <c r="J17" s="83">
        <v>273</v>
      </c>
      <c r="K17" s="83">
        <v>3450</v>
      </c>
      <c r="L17" s="83">
        <v>5440</v>
      </c>
      <c r="M17" s="83">
        <v>1115</v>
      </c>
    </row>
    <row r="18" spans="1:13" x14ac:dyDescent="0.25">
      <c r="A18" s="2">
        <f t="shared" si="0"/>
        <v>5</v>
      </c>
      <c r="B18" s="2" t="s">
        <v>28</v>
      </c>
      <c r="C18" s="2" t="s">
        <v>134</v>
      </c>
      <c r="D18" s="15"/>
      <c r="E18" s="83">
        <v>1</v>
      </c>
      <c r="F18" s="83">
        <v>617</v>
      </c>
      <c r="G18" s="83">
        <v>1397</v>
      </c>
      <c r="H18" s="83">
        <v>927</v>
      </c>
      <c r="I18" s="83">
        <v>417</v>
      </c>
      <c r="J18" s="83">
        <v>74</v>
      </c>
      <c r="K18" s="83">
        <v>2839</v>
      </c>
      <c r="L18" s="83">
        <v>2273</v>
      </c>
      <c r="M18" s="83">
        <v>735</v>
      </c>
    </row>
    <row r="19" spans="1:13" s="26" customFormat="1" x14ac:dyDescent="0.25">
      <c r="A19" s="2">
        <f t="shared" si="0"/>
        <v>6</v>
      </c>
      <c r="B19" s="4" t="s">
        <v>28</v>
      </c>
      <c r="C19" s="2" t="s">
        <v>47</v>
      </c>
      <c r="D19" s="15">
        <f>SUM(E19:M19)</f>
        <v>24994</v>
      </c>
      <c r="E19" s="83">
        <v>0</v>
      </c>
      <c r="F19" s="83">
        <v>733</v>
      </c>
      <c r="G19" s="83">
        <v>1685</v>
      </c>
      <c r="H19" s="83">
        <v>2780</v>
      </c>
      <c r="I19" s="83">
        <v>758</v>
      </c>
      <c r="J19" s="83">
        <v>256</v>
      </c>
      <c r="K19" s="83">
        <v>3461</v>
      </c>
      <c r="L19" s="83">
        <v>9590</v>
      </c>
      <c r="M19" s="83">
        <v>5731</v>
      </c>
    </row>
    <row r="20" spans="1:13" x14ac:dyDescent="0.25">
      <c r="A20" s="2">
        <f t="shared" si="0"/>
        <v>7</v>
      </c>
      <c r="B20" s="2" t="s">
        <v>28</v>
      </c>
      <c r="C20" s="2" t="s">
        <v>57</v>
      </c>
      <c r="D20" s="15"/>
      <c r="E20" s="83">
        <v>5</v>
      </c>
      <c r="F20" s="83">
        <v>9669</v>
      </c>
      <c r="G20" s="83">
        <v>28388</v>
      </c>
      <c r="H20" s="83">
        <v>41877</v>
      </c>
      <c r="I20" s="83">
        <v>6452</v>
      </c>
      <c r="J20" s="83">
        <v>3863</v>
      </c>
      <c r="K20" s="83">
        <v>52097</v>
      </c>
      <c r="L20" s="83">
        <v>40882</v>
      </c>
      <c r="M20" s="83">
        <v>33282</v>
      </c>
    </row>
    <row r="21" spans="1:13" x14ac:dyDescent="0.25">
      <c r="A21" s="2">
        <f t="shared" si="0"/>
        <v>8</v>
      </c>
      <c r="B21" s="2" t="s">
        <v>28</v>
      </c>
      <c r="C21" s="2" t="s">
        <v>38</v>
      </c>
      <c r="D21" s="75"/>
      <c r="E21" s="75">
        <f t="shared" ref="E21:M21" si="1">E13/E14</f>
        <v>3.7136659436008679</v>
      </c>
      <c r="F21" s="75">
        <f>F13/F14</f>
        <v>3.7234122712594186</v>
      </c>
      <c r="G21" s="75">
        <f>G13/G14</f>
        <v>3.7520690138869406</v>
      </c>
      <c r="H21" s="75">
        <f t="shared" si="1"/>
        <v>3.0291151733607964</v>
      </c>
      <c r="I21" s="75">
        <f>I13/I14</f>
        <v>6.1227810650887573</v>
      </c>
      <c r="J21" s="75">
        <f>J13/J14</f>
        <v>3.3971399035148173</v>
      </c>
      <c r="K21" s="75">
        <f t="shared" si="1"/>
        <v>4.8043241695303553</v>
      </c>
      <c r="L21" s="75">
        <f>L13/L14</f>
        <v>4.13187143608853</v>
      </c>
      <c r="M21" s="75">
        <f t="shared" si="1"/>
        <v>2.3695862411458744</v>
      </c>
    </row>
    <row r="22" spans="1:13" x14ac:dyDescent="0.25">
      <c r="A22" s="2">
        <f t="shared" si="0"/>
        <v>9</v>
      </c>
      <c r="B22" s="2" t="s">
        <v>28</v>
      </c>
      <c r="C22" s="2" t="s">
        <v>39</v>
      </c>
      <c r="D22" s="15"/>
      <c r="E22" s="15">
        <f t="shared" ref="E22:M22" si="2">E14/E17</f>
        <v>17.074074074074073</v>
      </c>
      <c r="F22" s="15">
        <f>F14/F17</f>
        <v>17.495291902071564</v>
      </c>
      <c r="G22" s="15">
        <f>G14/G17</f>
        <v>24.667820069204151</v>
      </c>
      <c r="H22" s="15">
        <f t="shared" si="2"/>
        <v>48.804188481675389</v>
      </c>
      <c r="I22" s="15">
        <f>I14/I17</f>
        <v>27.479674796747968</v>
      </c>
      <c r="J22" s="15">
        <f>J14/J17</f>
        <v>63.780219780219781</v>
      </c>
      <c r="K22" s="15">
        <f t="shared" si="2"/>
        <v>20.243478260869566</v>
      </c>
      <c r="L22" s="15">
        <f>L14/L17</f>
        <v>34.235661764705881</v>
      </c>
      <c r="M22" s="15">
        <f t="shared" si="2"/>
        <v>68.626008968609867</v>
      </c>
    </row>
    <row r="23" spans="1:13" x14ac:dyDescent="0.25">
      <c r="A23" s="2">
        <f t="shared" si="0"/>
        <v>10</v>
      </c>
      <c r="B23" s="2" t="s">
        <v>28</v>
      </c>
      <c r="C23" s="2" t="s">
        <v>40</v>
      </c>
      <c r="D23" s="75"/>
      <c r="E23" s="75">
        <f t="shared" ref="E23:M23" si="3">E13/E17</f>
        <v>63.407407407407405</v>
      </c>
      <c r="F23" s="75">
        <f>F13/F17</f>
        <v>65.142184557438796</v>
      </c>
      <c r="G23" s="75">
        <f>G13/G17</f>
        <v>92.555363321799305</v>
      </c>
      <c r="H23" s="75">
        <f t="shared" si="3"/>
        <v>147.83350785340315</v>
      </c>
      <c r="I23" s="75">
        <f>I13/I17</f>
        <v>168.2520325203252</v>
      </c>
      <c r="J23" s="75">
        <f>J13/J17</f>
        <v>216.67032967032966</v>
      </c>
      <c r="K23" s="75">
        <f t="shared" si="3"/>
        <v>97.256231884057968</v>
      </c>
      <c r="L23" s="75">
        <f>L13/L17</f>
        <v>141.45735294117648</v>
      </c>
      <c r="M23" s="75">
        <f t="shared" si="3"/>
        <v>162.6152466367713</v>
      </c>
    </row>
    <row r="24" spans="1:13" x14ac:dyDescent="0.25">
      <c r="A24" s="2">
        <f t="shared" si="0"/>
        <v>11</v>
      </c>
      <c r="B24" s="2" t="s">
        <v>28</v>
      </c>
      <c r="C24" s="2" t="s">
        <v>41</v>
      </c>
      <c r="D24" s="72"/>
      <c r="E24" s="71">
        <f t="shared" ref="E24:M24" si="4">E13*E18/E17</f>
        <v>63.407407407407405</v>
      </c>
      <c r="F24" s="71">
        <f>F13*F18/F17</f>
        <v>40192.727871939736</v>
      </c>
      <c r="G24" s="71">
        <f>G13*G18/G17</f>
        <v>129299.84256055363</v>
      </c>
      <c r="H24" s="71">
        <f t="shared" si="4"/>
        <v>137041.66178010471</v>
      </c>
      <c r="I24" s="71">
        <f>I13*I18/I17</f>
        <v>70161.097560975613</v>
      </c>
      <c r="J24" s="71">
        <f>J13*J18/J17</f>
        <v>16033.604395604396</v>
      </c>
      <c r="K24" s="71">
        <f t="shared" si="4"/>
        <v>276110.44231884059</v>
      </c>
      <c r="L24" s="71">
        <f>L13*L18/L17</f>
        <v>321532.56323529413</v>
      </c>
      <c r="M24" s="71">
        <f t="shared" si="4"/>
        <v>119522.2062780269</v>
      </c>
    </row>
    <row r="25" spans="1:13" x14ac:dyDescent="0.25">
      <c r="A25" s="2">
        <f t="shared" si="0"/>
        <v>12</v>
      </c>
      <c r="B25" s="2" t="s">
        <v>28</v>
      </c>
      <c r="C25" s="2" t="s">
        <v>42</v>
      </c>
      <c r="D25" s="55"/>
      <c r="E25" s="75">
        <f t="shared" ref="E25:M25" si="5">E24/E20</f>
        <v>12.68148148148148</v>
      </c>
      <c r="F25" s="75">
        <f>F24/F20</f>
        <v>4.1568650193339263</v>
      </c>
      <c r="G25" s="75">
        <f>G24/G20</f>
        <v>4.5547358940592373</v>
      </c>
      <c r="H25" s="75">
        <f t="shared" si="5"/>
        <v>3.2724804016549589</v>
      </c>
      <c r="I25" s="75">
        <f>I24/I20</f>
        <v>10.874317662891446</v>
      </c>
      <c r="J25" s="75">
        <f>J24/J20</f>
        <v>4.1505577001305713</v>
      </c>
      <c r="K25" s="75">
        <f t="shared" si="5"/>
        <v>5.2999297909445957</v>
      </c>
      <c r="L25" s="75">
        <f>L24/L20</f>
        <v>7.8648931861282261</v>
      </c>
      <c r="M25" s="75">
        <f t="shared" si="5"/>
        <v>3.5911966311527825</v>
      </c>
    </row>
    <row r="26" spans="1:13" x14ac:dyDescent="0.25">
      <c r="A26" s="2">
        <f t="shared" si="0"/>
        <v>13</v>
      </c>
      <c r="B26" s="2" t="s">
        <v>28</v>
      </c>
      <c r="C26" s="2" t="s">
        <v>43</v>
      </c>
      <c r="D26" s="14">
        <f>SUM(E26:M26)</f>
        <v>1</v>
      </c>
      <c r="E26" s="76">
        <f t="shared" ref="E26:M26" si="6">E19/$D19</f>
        <v>0</v>
      </c>
      <c r="F26" s="76">
        <f>F19/$D19</f>
        <v>2.9327038489237418E-2</v>
      </c>
      <c r="G26" s="76">
        <f>G19/$D19</f>
        <v>6.7416179883171959E-2</v>
      </c>
      <c r="H26" s="76">
        <f t="shared" si="6"/>
        <v>0.1112266944066576</v>
      </c>
      <c r="I26" s="76">
        <f>I19/$D19</f>
        <v>3.0327278546851244E-2</v>
      </c>
      <c r="J26" s="76">
        <f>J19/$D19</f>
        <v>1.0242458189965591E-2</v>
      </c>
      <c r="K26" s="76">
        <f t="shared" si="6"/>
        <v>0.13847323357605826</v>
      </c>
      <c r="L26" s="76">
        <f>L19/$D19</f>
        <v>0.38369208610066419</v>
      </c>
      <c r="M26" s="76">
        <f t="shared" si="6"/>
        <v>0.22929503080739377</v>
      </c>
    </row>
    <row r="27" spans="1:13" x14ac:dyDescent="0.25">
      <c r="A27" s="2">
        <f t="shared" si="0"/>
        <v>14</v>
      </c>
      <c r="B27" s="2" t="s">
        <v>28</v>
      </c>
      <c r="C27" s="2" t="s">
        <v>44</v>
      </c>
      <c r="D27" s="77">
        <f>SUM(E27:M27)</f>
        <v>5.7402982184337459</v>
      </c>
      <c r="E27" s="55">
        <f t="shared" ref="E27:M27" si="7">E25*E26</f>
        <v>0</v>
      </c>
      <c r="F27" s="55">
        <f>F25*F26</f>
        <v>0.1219085404165707</v>
      </c>
      <c r="G27" s="55">
        <f>G25*G26</f>
        <v>0.30706289435423761</v>
      </c>
      <c r="H27" s="55">
        <f t="shared" si="7"/>
        <v>0.36398717758665222</v>
      </c>
      <c r="I27" s="55">
        <f>I25*I26</f>
        <v>0.32978846076945334</v>
      </c>
      <c r="J27" s="55">
        <f>J25*J26</f>
        <v>4.2511913708627121E-2</v>
      </c>
      <c r="K27" s="55">
        <f t="shared" si="7"/>
        <v>0.73389841587818061</v>
      </c>
      <c r="L27" s="55">
        <f>L25*L26</f>
        <v>3.0176972735444383</v>
      </c>
      <c r="M27" s="55">
        <f t="shared" si="7"/>
        <v>0.82344354217558602</v>
      </c>
    </row>
    <row r="28" spans="1:13" x14ac:dyDescent="0.25">
      <c r="D28" s="53"/>
      <c r="E28" s="55"/>
      <c r="F28" s="55"/>
      <c r="G28" s="55"/>
      <c r="H28" s="55"/>
      <c r="I28" s="55"/>
      <c r="J28" s="55"/>
      <c r="K28" s="55"/>
      <c r="L28" s="55"/>
      <c r="M28" s="55"/>
    </row>
    <row r="29" spans="1:13" x14ac:dyDescent="0.25">
      <c r="C29" s="2" t="s">
        <v>124</v>
      </c>
      <c r="D29" s="53"/>
      <c r="E29" s="14">
        <f t="shared" ref="E29:M29" si="8">E15/E17-1</f>
        <v>5.555555555555558E-2</v>
      </c>
      <c r="F29" s="14">
        <f>F15/F17-1</f>
        <v>6.7796610169491567E-2</v>
      </c>
      <c r="G29" s="14">
        <f t="shared" si="8"/>
        <v>4.4405997693194976E-2</v>
      </c>
      <c r="H29" s="14">
        <f t="shared" si="8"/>
        <v>4.6073298429319287E-2</v>
      </c>
      <c r="I29" s="14">
        <f t="shared" si="8"/>
        <v>6.639566395663965E-2</v>
      </c>
      <c r="J29" s="14">
        <f t="shared" si="8"/>
        <v>0.27472527472527464</v>
      </c>
      <c r="K29" s="14">
        <f t="shared" si="8"/>
        <v>1.2173913043478368E-2</v>
      </c>
      <c r="L29" s="78">
        <f>L15/L17-1</f>
        <v>0.38382352941176467</v>
      </c>
      <c r="M29" s="14">
        <f t="shared" si="8"/>
        <v>0.35964125560538118</v>
      </c>
    </row>
    <row r="33" spans="5:13" x14ac:dyDescent="0.25">
      <c r="E33" s="15"/>
      <c r="F33" s="15"/>
      <c r="G33" s="15"/>
      <c r="H33" s="15"/>
      <c r="I33" s="15"/>
      <c r="J33" s="15"/>
      <c r="K33" s="15"/>
      <c r="L33" s="15"/>
      <c r="M33" s="15"/>
    </row>
    <row r="34" spans="5:13" x14ac:dyDescent="0.25">
      <c r="M34" s="71"/>
    </row>
  </sheetData>
  <pageMargins left="0.7" right="0.7" top="0.75" bottom="0.75" header="0.3" footer="0.3"/>
  <pageSetup orientation="portrait" verticalDpi="598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tabSelected="1" topLeftCell="A9" workbookViewId="0">
      <selection activeCell="B32" sqref="B32"/>
    </sheetView>
  </sheetViews>
  <sheetFormatPr defaultColWidth="9.109375" defaultRowHeight="13.8" x14ac:dyDescent="0.25"/>
  <cols>
    <col min="1" max="1" width="3.33203125" style="2" customWidth="1"/>
    <col min="2" max="2" width="9.109375" style="2"/>
    <col min="3" max="3" width="17.88671875" style="2" customWidth="1"/>
    <col min="4" max="4" width="5.6640625" style="2" bestFit="1" customWidth="1"/>
    <col min="5" max="5" width="9.109375" style="2"/>
    <col min="6" max="6" width="11.44140625" style="2" bestFit="1" customWidth="1"/>
    <col min="7" max="7" width="10.109375" style="2" bestFit="1" customWidth="1"/>
    <col min="8" max="8" width="9.33203125" style="14" bestFit="1" customWidth="1"/>
    <col min="9" max="9" width="9.44140625" style="14" bestFit="1" customWidth="1"/>
    <col min="10" max="10" width="3.5546875" style="2" customWidth="1"/>
    <col min="11" max="14" width="9.109375" style="2"/>
    <col min="15" max="15" width="41.109375" style="2" bestFit="1" customWidth="1"/>
    <col min="16" max="16" width="9.109375" style="2"/>
    <col min="17" max="17" width="10.109375" style="2" bestFit="1" customWidth="1"/>
    <col min="18" max="18" width="9.109375" style="2"/>
    <col min="19" max="19" width="12.33203125" style="2" bestFit="1" customWidth="1"/>
    <col min="20" max="20" width="10.6640625" style="2" bestFit="1" customWidth="1"/>
    <col min="21" max="16384" width="9.109375" style="2"/>
  </cols>
  <sheetData>
    <row r="1" spans="1:20" x14ac:dyDescent="0.25">
      <c r="J1" s="3"/>
      <c r="Q1" s="3" t="s">
        <v>119</v>
      </c>
      <c r="R1" s="14"/>
      <c r="S1" s="17" t="s">
        <v>114</v>
      </c>
    </row>
    <row r="2" spans="1:20" ht="14.4" x14ac:dyDescent="0.3">
      <c r="J2" s="3" t="s">
        <v>121</v>
      </c>
      <c r="O2" s="4" t="s">
        <v>37</v>
      </c>
      <c r="P2" s="5" t="s">
        <v>116</v>
      </c>
      <c r="Q2" s="4" t="s">
        <v>14</v>
      </c>
      <c r="R2" s="18" t="s">
        <v>117</v>
      </c>
      <c r="S2" s="18" t="s">
        <v>117</v>
      </c>
      <c r="T2" s="79"/>
    </row>
    <row r="3" spans="1:20" ht="14.4" x14ac:dyDescent="0.3">
      <c r="J3" s="3" t="s">
        <v>141</v>
      </c>
      <c r="O3" t="s">
        <v>118</v>
      </c>
      <c r="P3">
        <v>40</v>
      </c>
      <c r="Q3" s="80">
        <v>9590</v>
      </c>
      <c r="R3" s="93">
        <f t="shared" ref="R3:R15" si="0">Q3/$Q$16</f>
        <v>0.37264425879152907</v>
      </c>
      <c r="S3" s="95">
        <f>R3</f>
        <v>0.37264425879152907</v>
      </c>
      <c r="T3" s="80"/>
    </row>
    <row r="4" spans="1:20" ht="14.4" x14ac:dyDescent="0.3">
      <c r="O4" t="s">
        <v>118</v>
      </c>
      <c r="P4">
        <v>42</v>
      </c>
      <c r="Q4" s="80">
        <v>5731</v>
      </c>
      <c r="R4" s="93">
        <f t="shared" si="0"/>
        <v>0.22269283077520885</v>
      </c>
      <c r="S4" s="95">
        <f>(R4+S3)</f>
        <v>0.59533708956673792</v>
      </c>
      <c r="T4" s="80"/>
    </row>
    <row r="5" spans="1:20" ht="14.4" x14ac:dyDescent="0.3">
      <c r="O5" t="s">
        <v>136</v>
      </c>
      <c r="P5">
        <v>40</v>
      </c>
      <c r="Q5" s="80">
        <v>3512</v>
      </c>
      <c r="R5" s="93">
        <f t="shared" si="0"/>
        <v>0.13646784534680395</v>
      </c>
      <c r="S5" s="95">
        <f t="shared" ref="S5:S15" si="1">(R5+S4)</f>
        <v>0.73180493491354182</v>
      </c>
      <c r="T5" s="80"/>
    </row>
    <row r="6" spans="1:20" ht="14.4" x14ac:dyDescent="0.3">
      <c r="O6" t="s">
        <v>129</v>
      </c>
      <c r="P6">
        <v>416</v>
      </c>
      <c r="Q6" s="80">
        <v>2780</v>
      </c>
      <c r="R6" s="93">
        <f t="shared" si="0"/>
        <v>0.10802409170390519</v>
      </c>
      <c r="S6" s="95">
        <f t="shared" si="1"/>
        <v>0.83982902661744696</v>
      </c>
      <c r="T6" s="80"/>
    </row>
    <row r="7" spans="1:20" ht="14.4" x14ac:dyDescent="0.3">
      <c r="A7" s="115" t="s">
        <v>153</v>
      </c>
      <c r="B7" s="115"/>
      <c r="C7" s="115"/>
      <c r="D7" s="115"/>
      <c r="E7" s="115"/>
      <c r="F7" s="115"/>
      <c r="G7" s="115"/>
      <c r="H7" s="115"/>
      <c r="I7" s="115"/>
      <c r="J7" s="115"/>
      <c r="O7" t="s">
        <v>129</v>
      </c>
      <c r="P7">
        <v>40</v>
      </c>
      <c r="Q7" s="80">
        <v>1685</v>
      </c>
      <c r="R7" s="93">
        <f t="shared" si="0"/>
        <v>6.5475034000388579E-2</v>
      </c>
      <c r="S7" s="95">
        <f t="shared" si="1"/>
        <v>0.90530406061783553</v>
      </c>
      <c r="T7"/>
    </row>
    <row r="8" spans="1:20" ht="14.4" x14ac:dyDescent="0.3">
      <c r="C8" s="15"/>
      <c r="D8" s="15"/>
      <c r="O8" t="s">
        <v>130</v>
      </c>
      <c r="P8">
        <v>40</v>
      </c>
      <c r="Q8">
        <v>765</v>
      </c>
      <c r="R8" s="93">
        <f t="shared" si="0"/>
        <v>2.9726054012045852E-2</v>
      </c>
      <c r="S8" s="95">
        <f t="shared" si="1"/>
        <v>0.93503011462988139</v>
      </c>
      <c r="T8"/>
    </row>
    <row r="9" spans="1:20" ht="14.4" x14ac:dyDescent="0.3">
      <c r="F9" s="3" t="s">
        <v>119</v>
      </c>
      <c r="G9" s="14"/>
      <c r="H9" s="17" t="s">
        <v>114</v>
      </c>
      <c r="I9" s="100"/>
      <c r="O9" t="s">
        <v>129</v>
      </c>
      <c r="P9">
        <v>35</v>
      </c>
      <c r="Q9">
        <v>733</v>
      </c>
      <c r="R9" s="93">
        <f t="shared" si="0"/>
        <v>2.8482611229842626E-2</v>
      </c>
      <c r="S9" s="95">
        <f t="shared" si="1"/>
        <v>0.96351272585972403</v>
      </c>
      <c r="T9"/>
    </row>
    <row r="10" spans="1:20" ht="14.4" x14ac:dyDescent="0.3">
      <c r="C10" s="4" t="s">
        <v>37</v>
      </c>
      <c r="D10" s="102" t="s">
        <v>115</v>
      </c>
      <c r="E10" s="5" t="s">
        <v>116</v>
      </c>
      <c r="F10" s="5" t="s">
        <v>14</v>
      </c>
      <c r="G10" s="18" t="s">
        <v>117</v>
      </c>
      <c r="H10" s="18" t="s">
        <v>117</v>
      </c>
      <c r="I10" s="101"/>
      <c r="O10" t="s">
        <v>135</v>
      </c>
      <c r="P10">
        <v>35</v>
      </c>
      <c r="Q10">
        <v>274</v>
      </c>
      <c r="R10" s="93">
        <f t="shared" si="0"/>
        <v>1.0646978822615116E-2</v>
      </c>
      <c r="S10" s="95">
        <f t="shared" si="1"/>
        <v>0.97415970468233914</v>
      </c>
      <c r="T10" s="80"/>
    </row>
    <row r="11" spans="1:20" ht="15" thickBot="1" x14ac:dyDescent="0.35">
      <c r="C11" s="2" t="s">
        <v>118</v>
      </c>
      <c r="D11" s="2" t="s">
        <v>48</v>
      </c>
      <c r="E11" s="2">
        <v>40</v>
      </c>
      <c r="F11" s="15">
        <v>9590</v>
      </c>
      <c r="G11" s="93">
        <f t="shared" ref="G11:G23" si="2">F11/$Q$16</f>
        <v>0.37264425879152907</v>
      </c>
      <c r="H11" s="95">
        <f>G11</f>
        <v>0.37264425879152907</v>
      </c>
      <c r="I11" s="48"/>
      <c r="O11" s="96" t="s">
        <v>131</v>
      </c>
      <c r="P11" s="96">
        <v>415</v>
      </c>
      <c r="Q11" s="96">
        <v>256</v>
      </c>
      <c r="R11" s="97">
        <f t="shared" si="0"/>
        <v>9.9475422576258011E-3</v>
      </c>
      <c r="S11" s="98">
        <f t="shared" si="1"/>
        <v>0.98410724693996499</v>
      </c>
      <c r="T11"/>
    </row>
    <row r="12" spans="1:20" ht="14.4" x14ac:dyDescent="0.3">
      <c r="C12" s="2" t="s">
        <v>118</v>
      </c>
      <c r="D12" s="2" t="s">
        <v>48</v>
      </c>
      <c r="E12" s="2">
        <v>42</v>
      </c>
      <c r="F12" s="15">
        <v>5731</v>
      </c>
      <c r="G12" s="93">
        <f t="shared" si="2"/>
        <v>0.22269283077520885</v>
      </c>
      <c r="H12" s="95">
        <f>(G12+H11)</f>
        <v>0.59533708956673792</v>
      </c>
      <c r="I12" s="48"/>
      <c r="O12" t="s">
        <v>136</v>
      </c>
      <c r="P12">
        <v>33</v>
      </c>
      <c r="Q12">
        <v>209</v>
      </c>
      <c r="R12" s="93">
        <f t="shared" si="0"/>
        <v>8.1212356712648138E-3</v>
      </c>
      <c r="S12" s="95">
        <f t="shared" si="1"/>
        <v>0.99222848261122976</v>
      </c>
      <c r="T12"/>
    </row>
    <row r="13" spans="1:20" ht="14.4" x14ac:dyDescent="0.3">
      <c r="C13" s="2" t="s">
        <v>136</v>
      </c>
      <c r="D13" s="2" t="s">
        <v>50</v>
      </c>
      <c r="E13" s="2">
        <v>40</v>
      </c>
      <c r="F13" s="15">
        <v>3512</v>
      </c>
      <c r="G13" s="93">
        <f t="shared" si="2"/>
        <v>0.13646784534680395</v>
      </c>
      <c r="H13" s="95">
        <f t="shared" ref="H13:H23" si="3">(G13+H12)</f>
        <v>0.73180493491354182</v>
      </c>
      <c r="I13" s="48"/>
      <c r="O13" t="s">
        <v>130</v>
      </c>
      <c r="P13">
        <v>33</v>
      </c>
      <c r="Q13">
        <v>196</v>
      </c>
      <c r="R13" s="93">
        <f t="shared" si="0"/>
        <v>7.6160870409947541E-3</v>
      </c>
      <c r="S13" s="95">
        <f t="shared" si="1"/>
        <v>0.99984456965222446</v>
      </c>
      <c r="T13"/>
    </row>
    <row r="14" spans="1:20" ht="14.4" x14ac:dyDescent="0.3">
      <c r="C14" s="2" t="s">
        <v>129</v>
      </c>
      <c r="D14" s="2" t="s">
        <v>52</v>
      </c>
      <c r="E14" s="2">
        <v>416</v>
      </c>
      <c r="F14" s="15">
        <v>2780</v>
      </c>
      <c r="G14" s="93">
        <f t="shared" si="2"/>
        <v>0.10802409170390519</v>
      </c>
      <c r="H14" s="95">
        <f t="shared" si="3"/>
        <v>0.83982902661744696</v>
      </c>
      <c r="I14" s="48"/>
      <c r="O14" t="s">
        <v>135</v>
      </c>
      <c r="P14">
        <v>416</v>
      </c>
      <c r="Q14">
        <v>3</v>
      </c>
      <c r="R14" s="93">
        <f t="shared" si="0"/>
        <v>1.1657276083155236E-4</v>
      </c>
      <c r="S14" s="95">
        <f t="shared" si="1"/>
        <v>0.999961142413056</v>
      </c>
      <c r="T14"/>
    </row>
    <row r="15" spans="1:20" ht="15" thickBot="1" x14ac:dyDescent="0.35">
      <c r="B15" s="67"/>
      <c r="C15" s="2" t="s">
        <v>129</v>
      </c>
      <c r="D15" s="2" t="s">
        <v>52</v>
      </c>
      <c r="E15" s="2">
        <v>40</v>
      </c>
      <c r="F15" s="15">
        <v>1685</v>
      </c>
      <c r="G15" s="93">
        <f t="shared" si="2"/>
        <v>6.5475034000388579E-2</v>
      </c>
      <c r="H15" s="95">
        <f t="shared" si="3"/>
        <v>0.90530406061783553</v>
      </c>
      <c r="I15" s="48"/>
      <c r="O15" s="92" t="s">
        <v>135</v>
      </c>
      <c r="P15" s="92">
        <v>40</v>
      </c>
      <c r="Q15" s="92">
        <v>1</v>
      </c>
      <c r="R15" s="94">
        <f t="shared" si="0"/>
        <v>3.8857586943850786E-5</v>
      </c>
      <c r="S15" s="99">
        <f t="shared" si="1"/>
        <v>0.99999999999999989</v>
      </c>
      <c r="T15"/>
    </row>
    <row r="16" spans="1:20" ht="15" thickTop="1" x14ac:dyDescent="0.3">
      <c r="B16" s="6"/>
      <c r="C16" s="2" t="s">
        <v>130</v>
      </c>
      <c r="D16" s="2" t="s">
        <v>54</v>
      </c>
      <c r="E16" s="2">
        <v>40</v>
      </c>
      <c r="F16" s="2">
        <v>765</v>
      </c>
      <c r="G16" s="93">
        <f t="shared" si="2"/>
        <v>2.9726054012045852E-2</v>
      </c>
      <c r="H16" s="95">
        <f t="shared" si="3"/>
        <v>0.93503011462988139</v>
      </c>
      <c r="I16" s="48"/>
      <c r="O16" s="1" t="s">
        <v>152</v>
      </c>
      <c r="P16" s="1"/>
      <c r="Q16" s="91">
        <f>SUM(Q3:Q15)</f>
        <v>25735</v>
      </c>
      <c r="R16" s="1"/>
      <c r="T16"/>
    </row>
    <row r="17" spans="3:20" ht="14.4" x14ac:dyDescent="0.3">
      <c r="C17" s="2" t="s">
        <v>129</v>
      </c>
      <c r="D17" s="2" t="s">
        <v>52</v>
      </c>
      <c r="E17" s="2">
        <v>35</v>
      </c>
      <c r="F17" s="2">
        <v>733</v>
      </c>
      <c r="G17" s="93">
        <f t="shared" si="2"/>
        <v>2.8482611229842626E-2</v>
      </c>
      <c r="H17" s="95">
        <f t="shared" si="3"/>
        <v>0.96351272585972403</v>
      </c>
      <c r="I17" s="48"/>
      <c r="T17"/>
    </row>
    <row r="18" spans="3:20" ht="14.4" x14ac:dyDescent="0.3">
      <c r="C18" s="2" t="s">
        <v>135</v>
      </c>
      <c r="D18" s="2" t="s">
        <v>132</v>
      </c>
      <c r="E18" s="2">
        <v>35</v>
      </c>
      <c r="F18" s="2">
        <v>274</v>
      </c>
      <c r="G18" s="93">
        <f t="shared" si="2"/>
        <v>1.0646978822615116E-2</v>
      </c>
      <c r="H18" s="95">
        <f t="shared" si="3"/>
        <v>0.97415970468233914</v>
      </c>
      <c r="I18" s="48"/>
      <c r="T18"/>
    </row>
    <row r="19" spans="3:20" ht="15" thickBot="1" x14ac:dyDescent="0.35">
      <c r="C19" s="110" t="s">
        <v>131</v>
      </c>
      <c r="D19" s="110" t="s">
        <v>137</v>
      </c>
      <c r="E19" s="110">
        <v>415</v>
      </c>
      <c r="F19" s="110">
        <v>256</v>
      </c>
      <c r="G19" s="97">
        <f t="shared" si="2"/>
        <v>9.9475422576258011E-3</v>
      </c>
      <c r="H19" s="98">
        <f t="shared" si="3"/>
        <v>0.98410724693996499</v>
      </c>
      <c r="I19" s="88"/>
      <c r="T19"/>
    </row>
    <row r="20" spans="3:20" ht="14.4" x14ac:dyDescent="0.3">
      <c r="C20" s="2" t="s">
        <v>136</v>
      </c>
      <c r="D20" s="111" t="s">
        <v>50</v>
      </c>
      <c r="E20" s="2">
        <v>33</v>
      </c>
      <c r="F20" s="2">
        <v>209</v>
      </c>
      <c r="G20" s="93">
        <f t="shared" si="2"/>
        <v>8.1212356712648138E-3</v>
      </c>
      <c r="H20" s="95">
        <f t="shared" si="3"/>
        <v>0.99222848261122976</v>
      </c>
      <c r="I20" s="48"/>
      <c r="T20"/>
    </row>
    <row r="21" spans="3:20" ht="14.4" x14ac:dyDescent="0.3">
      <c r="C21" s="2" t="s">
        <v>130</v>
      </c>
      <c r="D21" s="111" t="s">
        <v>54</v>
      </c>
      <c r="E21" s="2">
        <v>33</v>
      </c>
      <c r="F21" s="2">
        <v>196</v>
      </c>
      <c r="G21" s="93">
        <f t="shared" si="2"/>
        <v>7.6160870409947541E-3</v>
      </c>
      <c r="H21" s="95">
        <f t="shared" si="3"/>
        <v>0.99984456965222446</v>
      </c>
      <c r="I21" s="48"/>
      <c r="T21"/>
    </row>
    <row r="22" spans="3:20" x14ac:dyDescent="0.25">
      <c r="C22" s="2" t="s">
        <v>135</v>
      </c>
      <c r="D22" s="2" t="s">
        <v>132</v>
      </c>
      <c r="E22" s="2">
        <v>416</v>
      </c>
      <c r="F22" s="2">
        <v>3</v>
      </c>
      <c r="G22" s="93">
        <f t="shared" si="2"/>
        <v>1.1657276083155236E-4</v>
      </c>
      <c r="H22" s="95">
        <f t="shared" si="3"/>
        <v>0.999961142413056</v>
      </c>
      <c r="I22" s="48"/>
    </row>
    <row r="23" spans="3:20" ht="14.4" thickBot="1" x14ac:dyDescent="0.3">
      <c r="C23" s="112" t="s">
        <v>135</v>
      </c>
      <c r="D23" s="112" t="s">
        <v>132</v>
      </c>
      <c r="E23" s="112">
        <v>40</v>
      </c>
      <c r="F23" s="112">
        <v>1</v>
      </c>
      <c r="G23" s="94">
        <f t="shared" si="2"/>
        <v>3.8857586943850786E-5</v>
      </c>
      <c r="H23" s="99">
        <f t="shared" si="3"/>
        <v>0.99999999999999989</v>
      </c>
      <c r="I23" s="48"/>
    </row>
    <row r="24" spans="3:20" ht="14.4" thickTop="1" x14ac:dyDescent="0.25">
      <c r="C24" s="1" t="s">
        <v>152</v>
      </c>
      <c r="D24" s="1"/>
      <c r="E24" s="1"/>
      <c r="F24" s="91">
        <f>SUM(F11:F23)</f>
        <v>25735</v>
      </c>
      <c r="G24" s="1"/>
      <c r="H24" s="2"/>
      <c r="I24" s="48"/>
      <c r="J24" s="1"/>
    </row>
    <row r="25" spans="3:20" x14ac:dyDescent="0.25">
      <c r="C25" s="1"/>
      <c r="D25" s="1"/>
      <c r="E25" s="1"/>
      <c r="F25" s="1"/>
      <c r="G25" s="1"/>
      <c r="H25" s="48"/>
      <c r="I25" s="48"/>
      <c r="J25" s="1"/>
    </row>
    <row r="26" spans="3:20" x14ac:dyDescent="0.25">
      <c r="C26" s="1"/>
      <c r="D26" s="1"/>
      <c r="E26" s="1"/>
      <c r="F26" s="1"/>
      <c r="G26" s="1"/>
      <c r="H26" s="48"/>
      <c r="I26" s="48"/>
      <c r="J26" s="1"/>
    </row>
    <row r="27" spans="3:20" x14ac:dyDescent="0.25">
      <c r="C27" s="1"/>
      <c r="D27" s="1"/>
      <c r="E27" s="1"/>
      <c r="F27" s="1"/>
      <c r="G27" s="1"/>
      <c r="H27" s="48"/>
      <c r="I27" s="48"/>
      <c r="J27" s="1"/>
    </row>
    <row r="28" spans="3:20" x14ac:dyDescent="0.25">
      <c r="C28" s="1"/>
      <c r="D28" s="1"/>
      <c r="E28" s="81"/>
      <c r="F28" s="81"/>
      <c r="G28" s="1"/>
      <c r="H28" s="48"/>
      <c r="I28" s="48"/>
      <c r="J28" s="1"/>
    </row>
    <row r="29" spans="3:20" x14ac:dyDescent="0.25">
      <c r="C29" s="1"/>
      <c r="D29" s="1"/>
      <c r="E29" s="9"/>
      <c r="F29" s="9"/>
      <c r="G29" s="1"/>
      <c r="H29" s="48"/>
      <c r="I29" s="48"/>
      <c r="J29" s="1"/>
    </row>
    <row r="30" spans="3:20" x14ac:dyDescent="0.25">
      <c r="C30" s="1"/>
      <c r="D30" s="1"/>
      <c r="E30" s="1"/>
      <c r="F30" s="1"/>
      <c r="G30" s="1"/>
      <c r="H30" s="48"/>
      <c r="I30" s="48"/>
      <c r="J30" s="1"/>
    </row>
    <row r="31" spans="3:20" x14ac:dyDescent="0.25">
      <c r="C31" s="1"/>
      <c r="D31" s="1"/>
      <c r="E31" s="1"/>
      <c r="F31" s="1"/>
      <c r="G31" s="1"/>
      <c r="H31" s="48"/>
      <c r="I31" s="48"/>
      <c r="J31" s="1"/>
    </row>
    <row r="32" spans="3:20" x14ac:dyDescent="0.25">
      <c r="C32" s="1"/>
      <c r="D32" s="1"/>
      <c r="E32" s="1"/>
      <c r="F32" s="1"/>
      <c r="G32" s="1"/>
      <c r="H32" s="48"/>
      <c r="I32" s="48"/>
      <c r="J32" s="1"/>
    </row>
    <row r="33" spans="3:10" x14ac:dyDescent="0.25">
      <c r="C33" s="1"/>
      <c r="D33" s="1"/>
      <c r="E33" s="1"/>
      <c r="F33" s="1"/>
      <c r="G33" s="1"/>
      <c r="H33" s="48"/>
      <c r="I33" s="48"/>
      <c r="J33" s="1"/>
    </row>
    <row r="34" spans="3:10" x14ac:dyDescent="0.25">
      <c r="C34" s="1"/>
      <c r="D34" s="1"/>
      <c r="E34" s="1"/>
      <c r="F34" s="1"/>
      <c r="G34" s="1"/>
      <c r="H34" s="48"/>
      <c r="I34" s="48"/>
      <c r="J34" s="1"/>
    </row>
    <row r="35" spans="3:10" x14ac:dyDescent="0.25">
      <c r="C35" s="1"/>
      <c r="D35" s="1"/>
      <c r="E35" s="1"/>
      <c r="F35" s="1"/>
      <c r="G35" s="1"/>
      <c r="H35" s="48"/>
      <c r="I35" s="48"/>
      <c r="J35" s="1"/>
    </row>
    <row r="36" spans="3:10" x14ac:dyDescent="0.25">
      <c r="C36" s="1"/>
      <c r="D36" s="1"/>
      <c r="E36" s="1"/>
      <c r="F36" s="1"/>
      <c r="G36" s="1"/>
      <c r="H36" s="48"/>
      <c r="I36" s="48"/>
      <c r="J36" s="1"/>
    </row>
    <row r="37" spans="3:10" x14ac:dyDescent="0.25">
      <c r="C37" s="1"/>
      <c r="D37" s="1"/>
      <c r="E37" s="1"/>
      <c r="F37" s="1"/>
      <c r="G37" s="1"/>
      <c r="H37" s="48"/>
      <c r="I37" s="48"/>
      <c r="J37" s="1"/>
    </row>
    <row r="38" spans="3:10" x14ac:dyDescent="0.25">
      <c r="C38" s="1"/>
      <c r="D38" s="1"/>
      <c r="E38" s="1"/>
      <c r="F38" s="1"/>
      <c r="G38" s="1"/>
      <c r="H38" s="48"/>
      <c r="I38" s="48"/>
      <c r="J38" s="1"/>
    </row>
    <row r="39" spans="3:10" x14ac:dyDescent="0.25">
      <c r="C39" s="1"/>
      <c r="D39" s="1"/>
      <c r="E39" s="1"/>
      <c r="F39" s="1"/>
      <c r="G39" s="1"/>
      <c r="H39" s="48"/>
      <c r="I39" s="48"/>
      <c r="J39" s="1"/>
    </row>
    <row r="40" spans="3:10" x14ac:dyDescent="0.25">
      <c r="C40" s="1"/>
      <c r="D40" s="1"/>
      <c r="E40" s="1"/>
      <c r="F40" s="1"/>
      <c r="G40" s="1"/>
      <c r="H40" s="48"/>
      <c r="I40" s="48"/>
      <c r="J40" s="1"/>
    </row>
    <row r="41" spans="3:10" x14ac:dyDescent="0.25">
      <c r="C41" s="1"/>
      <c r="D41" s="1"/>
      <c r="E41" s="1"/>
      <c r="F41" s="1"/>
      <c r="G41" s="1"/>
      <c r="H41" s="48"/>
      <c r="I41" s="48"/>
      <c r="J41" s="1"/>
    </row>
  </sheetData>
  <sortState ref="O3:R15">
    <sortCondition descending="1" ref="Q3:Q15"/>
  </sortState>
  <mergeCells count="1">
    <mergeCell ref="A7:J7"/>
  </mergeCells>
  <pageMargins left="0.7" right="0.7" top="0.75" bottom="0.75" header="0.3" footer="0.3"/>
  <pageSetup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Appendix K SEA 2017</vt:lpstr>
      <vt:lpstr>2018 Regression</vt:lpstr>
      <vt:lpstr>Appendix L SEA 2018</vt:lpstr>
      <vt:lpstr>Appendix M SEA 2018</vt:lpstr>
      <vt:lpstr>Appendix M 2 SEA 2018</vt:lpstr>
      <vt:lpstr>Appendix N 2018</vt:lpstr>
      <vt:lpstr>'Appendix K SEA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2020-07-21T15:16:05Z</dcterms:modified>
</cp:coreProperties>
</file>